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ri\OneDrive - hibernianadvisors.com\RLE Shared File\13-Implementation Plan\05 Proforma\00 CTA Submittal\02 DRAFT for CTA submission 2nd\02 Excel Version\"/>
    </mc:Choice>
  </mc:AlternateContent>
  <xr:revisionPtr revIDLastSave="0" documentId="8_{F3A6A766-72D4-4F52-B2CC-CE0FD777E48B}" xr6:coauthVersionLast="47" xr6:coauthVersionMax="47" xr10:uidLastSave="{00000000-0000-0000-0000-000000000000}"/>
  <bookViews>
    <workbookView xWindow="-28920" yWindow="-120" windowWidth="29040" windowHeight="15720" tabRatio="780" xr2:uid="{8A6F8D95-191F-4ABA-8CDC-C224521EF7A7}"/>
  </bookViews>
  <sheets>
    <sheet name="Summary" sheetId="9" r:id="rId1"/>
    <sheet name="Sources Uses" sheetId="2" r:id="rId2"/>
    <sheet name="Pro-Forma" sheetId="5" r:id="rId3"/>
    <sheet name="Rent Roll" sheetId="6" r:id="rId4"/>
    <sheet name="Financing" sheetId="10" r:id="rId5"/>
    <sheet name="Site Base Data" sheetId="8" r:id="rId6"/>
  </sheets>
  <definedNames>
    <definedName name="_xlnm.Print_Titles" localSheetId="1">'Sources Uses'!$A:$C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4" i="2" l="1"/>
  <c r="G73" i="9"/>
  <c r="G57" i="9"/>
  <c r="G41" i="9"/>
  <c r="F39" i="9"/>
  <c r="O17" i="9"/>
  <c r="O13" i="9"/>
  <c r="N13" i="9"/>
  <c r="M13" i="9"/>
  <c r="E92" i="5" l="1"/>
  <c r="AC55" i="2" s="1"/>
  <c r="AC54" i="2"/>
  <c r="AC53" i="2"/>
  <c r="M53" i="2"/>
  <c r="M55" i="2" s="1"/>
  <c r="E30" i="5"/>
  <c r="E55" i="2"/>
  <c r="U54" i="2"/>
  <c r="U53" i="2"/>
  <c r="E61" i="5"/>
  <c r="U55" i="2" s="1"/>
  <c r="G82" i="5"/>
  <c r="I82" i="5" s="1"/>
  <c r="K82" i="5" s="1"/>
  <c r="M82" i="5" s="1"/>
  <c r="O82" i="5" s="1"/>
  <c r="Q82" i="5" s="1"/>
  <c r="S82" i="5" s="1"/>
  <c r="U82" i="5" s="1"/>
  <c r="W82" i="5" s="1"/>
  <c r="Y82" i="5" s="1"/>
  <c r="G51" i="5"/>
  <c r="G20" i="5"/>
  <c r="I20" i="5" s="1"/>
  <c r="K20" i="5" s="1"/>
  <c r="M20" i="5" s="1"/>
  <c r="O20" i="5" s="1"/>
  <c r="Q20" i="5" s="1"/>
  <c r="S20" i="5" s="1"/>
  <c r="U20" i="5" s="1"/>
  <c r="W20" i="5" s="1"/>
  <c r="Y20" i="5" s="1"/>
  <c r="I51" i="5"/>
  <c r="K51" i="5" s="1"/>
  <c r="M51" i="5" s="1"/>
  <c r="O51" i="5" s="1"/>
  <c r="Q51" i="5" s="1"/>
  <c r="S51" i="5" s="1"/>
  <c r="U51" i="5" s="1"/>
  <c r="W51" i="5" s="1"/>
  <c r="Y51" i="5" s="1"/>
  <c r="Y42" i="2" l="1"/>
  <c r="F40" i="9" l="1"/>
  <c r="C31" i="6" l="1"/>
  <c r="C22" i="6"/>
  <c r="C13" i="6"/>
  <c r="AI11" i="2"/>
  <c r="AA11" i="2"/>
  <c r="S11" i="2"/>
  <c r="O11" i="9" l="1"/>
  <c r="N11" i="9"/>
  <c r="M11" i="9"/>
  <c r="AE24" i="2"/>
  <c r="AG24" i="2" s="1"/>
  <c r="AE23" i="2"/>
  <c r="AG23" i="2" s="1"/>
  <c r="AE22" i="2"/>
  <c r="AG22" i="2" s="1"/>
  <c r="W24" i="2"/>
  <c r="W23" i="2"/>
  <c r="W22" i="2"/>
  <c r="O24" i="2"/>
  <c r="Q24" i="2" s="1"/>
  <c r="O23" i="2"/>
  <c r="Q23" i="2" s="1"/>
  <c r="O22" i="2"/>
  <c r="Q22" i="2" s="1"/>
  <c r="G42" i="9" s="1"/>
  <c r="U21" i="2"/>
  <c r="F56" i="9" s="1"/>
  <c r="U22" i="2"/>
  <c r="AC22" i="2" s="1"/>
  <c r="U23" i="2"/>
  <c r="AC23" i="2" s="1"/>
  <c r="U24" i="2"/>
  <c r="AC24" i="2" s="1"/>
  <c r="U20" i="2"/>
  <c r="F55" i="9" s="1"/>
  <c r="AE19" i="2"/>
  <c r="W19" i="2"/>
  <c r="O19" i="2"/>
  <c r="C4" i="2"/>
  <c r="C5" i="2"/>
  <c r="C6" i="2"/>
  <c r="C4" i="5"/>
  <c r="C5" i="5"/>
  <c r="C6" i="5"/>
  <c r="C5" i="6"/>
  <c r="C6" i="6"/>
  <c r="C7" i="6"/>
  <c r="C4" i="10"/>
  <c r="C5" i="10"/>
  <c r="C6" i="10"/>
  <c r="I20" i="2"/>
  <c r="AG42" i="2"/>
  <c r="AC41" i="2"/>
  <c r="U41" i="2"/>
  <c r="M41" i="2"/>
  <c r="Q42" i="2"/>
  <c r="G74" i="9" l="1"/>
  <c r="Y23" i="2"/>
  <c r="Y22" i="2"/>
  <c r="Y24" i="2"/>
  <c r="F71" i="9"/>
  <c r="AC21" i="2"/>
  <c r="F72" i="9" s="1"/>
  <c r="N27" i="9"/>
  <c r="N26" i="9"/>
  <c r="D6" i="9"/>
  <c r="D5" i="9"/>
  <c r="D4" i="9"/>
  <c r="N25" i="9"/>
  <c r="O14" i="9"/>
  <c r="M15" i="9"/>
  <c r="N15" i="9"/>
  <c r="O15" i="9"/>
  <c r="M12" i="9"/>
  <c r="N12" i="9"/>
  <c r="O12" i="9"/>
  <c r="M16" i="9"/>
  <c r="N16" i="9"/>
  <c r="O16" i="9"/>
  <c r="M17" i="9"/>
  <c r="N17" i="9"/>
  <c r="I42" i="2"/>
  <c r="M17" i="10"/>
  <c r="M16" i="10"/>
  <c r="M15" i="10"/>
  <c r="I17" i="10"/>
  <c r="I16" i="10"/>
  <c r="I15" i="10"/>
  <c r="F34" i="6"/>
  <c r="E32" i="6"/>
  <c r="J32" i="6" s="1"/>
  <c r="E23" i="6"/>
  <c r="J23" i="6" s="1"/>
  <c r="E14" i="6"/>
  <c r="J14" i="6" s="1"/>
  <c r="W21" i="2"/>
  <c r="AE21" i="2"/>
  <c r="O21" i="2"/>
  <c r="Q21" i="2" s="1"/>
  <c r="D39" i="8"/>
  <c r="G24" i="2" s="1"/>
  <c r="I24" i="2" s="1"/>
  <c r="D38" i="8"/>
  <c r="G23" i="2" s="1"/>
  <c r="I23" i="2" s="1"/>
  <c r="D37" i="8"/>
  <c r="G22" i="2" s="1"/>
  <c r="I22" i="2" s="1"/>
  <c r="D9" i="8"/>
  <c r="D12" i="8"/>
  <c r="F16" i="8"/>
  <c r="E33" i="6"/>
  <c r="J33" i="6" s="1"/>
  <c r="E16" i="8"/>
  <c r="D25" i="8"/>
  <c r="D35" i="8"/>
  <c r="AG21" i="2" l="1"/>
  <c r="G17" i="2"/>
  <c r="J11" i="9"/>
  <c r="N28" i="9"/>
  <c r="G58" i="9"/>
  <c r="E15" i="6"/>
  <c r="J15" i="6" s="1"/>
  <c r="E22" i="8"/>
  <c r="E24" i="6"/>
  <c r="J24" i="6" s="1"/>
  <c r="J26" i="6" s="1"/>
  <c r="F22" i="8"/>
  <c r="J14" i="9"/>
  <c r="J15" i="9"/>
  <c r="J13" i="9"/>
  <c r="J35" i="6"/>
  <c r="G18" i="2"/>
  <c r="G21" i="2"/>
  <c r="G19" i="2"/>
  <c r="G72" i="9"/>
  <c r="Y21" i="2"/>
  <c r="G56" i="9" s="1"/>
  <c r="G40" i="9"/>
  <c r="E72" i="9"/>
  <c r="E40" i="9"/>
  <c r="E56" i="9"/>
  <c r="D16" i="8"/>
  <c r="G21" i="5" l="1"/>
  <c r="G18" i="5"/>
  <c r="G52" i="5"/>
  <c r="G49" i="5"/>
  <c r="G75" i="5"/>
  <c r="G81" i="5" l="1"/>
  <c r="I81" i="5" s="1"/>
  <c r="K81" i="5" s="1"/>
  <c r="M81" i="5" s="1"/>
  <c r="G77" i="5"/>
  <c r="I77" i="5" s="1"/>
  <c r="K77" i="5" s="1"/>
  <c r="M77" i="5" s="1"/>
  <c r="O77" i="5" s="1"/>
  <c r="Q77" i="5" s="1"/>
  <c r="I75" i="5"/>
  <c r="K75" i="5" s="1"/>
  <c r="M75" i="5" l="1"/>
  <c r="S77" i="5"/>
  <c r="O81" i="5"/>
  <c r="O75" i="5" l="1"/>
  <c r="U77" i="5"/>
  <c r="Q81" i="5"/>
  <c r="Q75" i="5" l="1"/>
  <c r="W77" i="5"/>
  <c r="S81" i="5"/>
  <c r="S75" i="5" l="1"/>
  <c r="Y77" i="5"/>
  <c r="U81" i="5"/>
  <c r="D34" i="8"/>
  <c r="U75" i="5" l="1"/>
  <c r="W81" i="5"/>
  <c r="W75" i="5" l="1"/>
  <c r="Y81" i="5"/>
  <c r="E17" i="10"/>
  <c r="E16" i="10"/>
  <c r="E15" i="10"/>
  <c r="Y75" i="5" l="1"/>
  <c r="D33" i="8"/>
  <c r="F41" i="8"/>
  <c r="G22" i="8"/>
  <c r="I21" i="2"/>
  <c r="N29" i="9" s="1"/>
  <c r="G80" i="5" l="1"/>
  <c r="G83" i="5"/>
  <c r="I83" i="5" s="1"/>
  <c r="K83" i="5" s="1"/>
  <c r="M83" i="5" s="1"/>
  <c r="O83" i="5" s="1"/>
  <c r="Q83" i="5" s="1"/>
  <c r="S83" i="5" s="1"/>
  <c r="U83" i="5" s="1"/>
  <c r="W83" i="5" s="1"/>
  <c r="Y83" i="5" s="1"/>
  <c r="I25" i="2"/>
  <c r="I32" i="2" s="1"/>
  <c r="I52" i="5"/>
  <c r="K52" i="5" s="1"/>
  <c r="M52" i="5" s="1"/>
  <c r="O52" i="5" s="1"/>
  <c r="Q52" i="5" s="1"/>
  <c r="S52" i="5" s="1"/>
  <c r="U52" i="5" s="1"/>
  <c r="W52" i="5" s="1"/>
  <c r="Y52" i="5" s="1"/>
  <c r="M14" i="9"/>
  <c r="F16" i="6"/>
  <c r="M18" i="9"/>
  <c r="O20" i="2"/>
  <c r="Q20" i="2" s="1"/>
  <c r="G36" i="8"/>
  <c r="AE20" i="2"/>
  <c r="AG20" i="2" s="1"/>
  <c r="AG25" i="2" s="1"/>
  <c r="O18" i="9"/>
  <c r="N14" i="9"/>
  <c r="F25" i="6"/>
  <c r="F36" i="8"/>
  <c r="N18" i="9"/>
  <c r="W20" i="2"/>
  <c r="Y20" i="2" s="1"/>
  <c r="Y25" i="2" s="1"/>
  <c r="D22" i="8"/>
  <c r="D36" i="8" s="1"/>
  <c r="E36" i="8"/>
  <c r="E24" i="8"/>
  <c r="E41" i="8"/>
  <c r="D23" i="8"/>
  <c r="D41" i="8" s="1"/>
  <c r="F24" i="8"/>
  <c r="D30" i="8"/>
  <c r="G24" i="8"/>
  <c r="D31" i="8"/>
  <c r="D32" i="8" l="1"/>
  <c r="J16" i="9"/>
  <c r="J12" i="9"/>
  <c r="Q25" i="2"/>
  <c r="G84" i="5"/>
  <c r="J17" i="6"/>
  <c r="I29" i="2"/>
  <c r="I28" i="2"/>
  <c r="I30" i="2"/>
  <c r="I27" i="2"/>
  <c r="I31" i="2"/>
  <c r="I33" i="2"/>
  <c r="I34" i="2"/>
  <c r="E71" i="9"/>
  <c r="E55" i="9"/>
  <c r="E39" i="9"/>
  <c r="I49" i="5"/>
  <c r="I80" i="5"/>
  <c r="G76" i="5" l="1"/>
  <c r="G78" i="5" s="1"/>
  <c r="M70" i="9" s="1"/>
  <c r="I35" i="2"/>
  <c r="N30" i="9" s="1"/>
  <c r="G39" i="9"/>
  <c r="M71" i="9"/>
  <c r="G55" i="9"/>
  <c r="G71" i="9"/>
  <c r="K49" i="5"/>
  <c r="K80" i="5"/>
  <c r="I84" i="5"/>
  <c r="I76" i="5" l="1"/>
  <c r="K76" i="5" s="1"/>
  <c r="G86" i="5"/>
  <c r="M72" i="9" s="1"/>
  <c r="I36" i="2"/>
  <c r="AG27" i="2"/>
  <c r="AG34" i="2"/>
  <c r="AG29" i="2"/>
  <c r="AG30" i="2"/>
  <c r="AG33" i="2"/>
  <c r="AG32" i="2"/>
  <c r="AG28" i="2"/>
  <c r="AG31" i="2"/>
  <c r="Q27" i="2"/>
  <c r="Q34" i="2"/>
  <c r="Q31" i="2"/>
  <c r="Q30" i="2"/>
  <c r="Q28" i="2"/>
  <c r="Q32" i="2"/>
  <c r="Q29" i="2"/>
  <c r="Q33" i="2"/>
  <c r="Y31" i="2"/>
  <c r="Y28" i="2"/>
  <c r="Y34" i="2"/>
  <c r="Y30" i="2"/>
  <c r="Y27" i="2"/>
  <c r="Y33" i="2"/>
  <c r="Y32" i="2"/>
  <c r="Y29" i="2"/>
  <c r="M49" i="5"/>
  <c r="M80" i="5"/>
  <c r="K84" i="5"/>
  <c r="O71" i="9" s="1"/>
  <c r="I78" i="5" l="1"/>
  <c r="I86" i="5" s="1"/>
  <c r="I44" i="2"/>
  <c r="I43" i="2"/>
  <c r="AG35" i="2"/>
  <c r="AG36" i="2" s="1"/>
  <c r="AG43" i="2" s="1"/>
  <c r="Y35" i="2"/>
  <c r="Q35" i="2"/>
  <c r="Q36" i="2" s="1"/>
  <c r="M76" i="5"/>
  <c r="K78" i="5"/>
  <c r="I39" i="2"/>
  <c r="I40" i="2"/>
  <c r="I41" i="2"/>
  <c r="O49" i="5"/>
  <c r="O80" i="5"/>
  <c r="M84" i="5"/>
  <c r="G44" i="5"/>
  <c r="G46" i="5" s="1"/>
  <c r="G13" i="5"/>
  <c r="G15" i="5" s="1"/>
  <c r="K86" i="5" l="1"/>
  <c r="O72" i="9" s="1"/>
  <c r="O70" i="9"/>
  <c r="Y36" i="2"/>
  <c r="G59" i="9"/>
  <c r="Q41" i="2"/>
  <c r="Q43" i="2"/>
  <c r="O76" i="5"/>
  <c r="M78" i="5"/>
  <c r="M86" i="5" s="1"/>
  <c r="G50" i="5"/>
  <c r="G19" i="5"/>
  <c r="G22" i="5" s="1"/>
  <c r="I45" i="2"/>
  <c r="N31" i="9" s="1"/>
  <c r="I46" i="5"/>
  <c r="K46" i="5" s="1"/>
  <c r="M46" i="5" s="1"/>
  <c r="O46" i="5" s="1"/>
  <c r="Q46" i="5" s="1"/>
  <c r="S46" i="5" s="1"/>
  <c r="U46" i="5" s="1"/>
  <c r="W46" i="5" s="1"/>
  <c r="Y46" i="5" s="1"/>
  <c r="Q40" i="2"/>
  <c r="Q44" i="2"/>
  <c r="Q39" i="2"/>
  <c r="AG39" i="2"/>
  <c r="AG44" i="2"/>
  <c r="AG41" i="2"/>
  <c r="AG40" i="2"/>
  <c r="Y44" i="2"/>
  <c r="Y41" i="2"/>
  <c r="Y40" i="2"/>
  <c r="Y39" i="2"/>
  <c r="G76" i="9"/>
  <c r="G75" i="9"/>
  <c r="G43" i="9"/>
  <c r="Q49" i="5"/>
  <c r="I44" i="5"/>
  <c r="Q80" i="5"/>
  <c r="O84" i="5"/>
  <c r="I13" i="5"/>
  <c r="I15" i="5"/>
  <c r="K15" i="5" s="1"/>
  <c r="M15" i="5" s="1"/>
  <c r="O15" i="5" s="1"/>
  <c r="Q15" i="5" s="1"/>
  <c r="S15" i="5" s="1"/>
  <c r="U15" i="5" s="1"/>
  <c r="W15" i="5" s="1"/>
  <c r="Y15" i="5" s="1"/>
  <c r="I21" i="5"/>
  <c r="G60" i="9" l="1"/>
  <c r="Y43" i="2"/>
  <c r="Y45" i="2" s="1"/>
  <c r="Y47" i="2" s="1"/>
  <c r="AG45" i="2"/>
  <c r="G78" i="9" s="1"/>
  <c r="Q45" i="2"/>
  <c r="Q76" i="5"/>
  <c r="O78" i="5"/>
  <c r="O86" i="5" s="1"/>
  <c r="G14" i="5"/>
  <c r="I14" i="5" s="1"/>
  <c r="I47" i="2"/>
  <c r="I53" i="2" s="1"/>
  <c r="M39" i="9"/>
  <c r="K13" i="5"/>
  <c r="G44" i="9"/>
  <c r="G53" i="5"/>
  <c r="I50" i="5"/>
  <c r="K44" i="5"/>
  <c r="S80" i="5"/>
  <c r="Q84" i="5"/>
  <c r="S49" i="5"/>
  <c r="K21" i="5"/>
  <c r="M21" i="5" s="1"/>
  <c r="O21" i="5" s="1"/>
  <c r="Q21" i="5" s="1"/>
  <c r="S21" i="5" s="1"/>
  <c r="U21" i="5" s="1"/>
  <c r="W21" i="5" s="1"/>
  <c r="Y21" i="5" s="1"/>
  <c r="I18" i="5"/>
  <c r="S76" i="5" l="1"/>
  <c r="Q78" i="5"/>
  <c r="Q86" i="5" s="1"/>
  <c r="G16" i="5"/>
  <c r="G24" i="5" s="1"/>
  <c r="K14" i="5"/>
  <c r="M14" i="5" s="1"/>
  <c r="O14" i="5" s="1"/>
  <c r="Q14" i="5" s="1"/>
  <c r="S14" i="5" s="1"/>
  <c r="U14" i="5" s="1"/>
  <c r="W14" i="5" s="1"/>
  <c r="Y14" i="5" s="1"/>
  <c r="I16" i="5"/>
  <c r="G45" i="5"/>
  <c r="I55" i="2"/>
  <c r="N32" i="9"/>
  <c r="I54" i="2"/>
  <c r="M38" i="9"/>
  <c r="G58" i="5"/>
  <c r="G59" i="5" s="1"/>
  <c r="Y54" i="2"/>
  <c r="Y55" i="2"/>
  <c r="Y53" i="2"/>
  <c r="M55" i="9"/>
  <c r="M13" i="5"/>
  <c r="G62" i="9"/>
  <c r="AG47" i="2"/>
  <c r="G64" i="9"/>
  <c r="U49" i="5"/>
  <c r="K50" i="5"/>
  <c r="I53" i="5"/>
  <c r="U80" i="5"/>
  <c r="S84" i="5"/>
  <c r="M44" i="5"/>
  <c r="K18" i="5"/>
  <c r="M16" i="5" l="1"/>
  <c r="K16" i="5"/>
  <c r="O38" i="9" s="1"/>
  <c r="U76" i="5"/>
  <c r="S78" i="5"/>
  <c r="S86" i="5" s="1"/>
  <c r="I45" i="5"/>
  <c r="G47" i="5"/>
  <c r="I51" i="2"/>
  <c r="AG53" i="2"/>
  <c r="AG55" i="2"/>
  <c r="AG54" i="2"/>
  <c r="Y51" i="2"/>
  <c r="O13" i="5"/>
  <c r="O16" i="5" s="1"/>
  <c r="G60" i="5"/>
  <c r="J54" i="9"/>
  <c r="G61" i="5"/>
  <c r="J56" i="9" s="1"/>
  <c r="G80" i="9"/>
  <c r="G89" i="5"/>
  <c r="O44" i="5"/>
  <c r="W80" i="5"/>
  <c r="U84" i="5"/>
  <c r="W49" i="5"/>
  <c r="M50" i="5"/>
  <c r="K53" i="5"/>
  <c r="O55" i="9" s="1"/>
  <c r="M18" i="5"/>
  <c r="G55" i="5" l="1"/>
  <c r="M56" i="9" s="1"/>
  <c r="M54" i="9"/>
  <c r="J55" i="9"/>
  <c r="J57" i="9" s="1"/>
  <c r="I13" i="10"/>
  <c r="I18" i="10" s="1"/>
  <c r="I19" i="10" s="1"/>
  <c r="G63" i="5" s="1"/>
  <c r="W76" i="5"/>
  <c r="U78" i="5"/>
  <c r="U86" i="5" s="1"/>
  <c r="K45" i="5"/>
  <c r="I47" i="5"/>
  <c r="I55" i="5" s="1"/>
  <c r="AG51" i="2"/>
  <c r="Q13" i="5"/>
  <c r="Q16" i="5" s="1"/>
  <c r="G92" i="5"/>
  <c r="J72" i="9" s="1"/>
  <c r="G90" i="5"/>
  <c r="J70" i="9" s="1"/>
  <c r="G91" i="5"/>
  <c r="Q44" i="5"/>
  <c r="O50" i="5"/>
  <c r="M53" i="5"/>
  <c r="Y49" i="5"/>
  <c r="Y80" i="5"/>
  <c r="W84" i="5"/>
  <c r="O18" i="5"/>
  <c r="J71" i="9" l="1"/>
  <c r="J73" i="9" s="1"/>
  <c r="M13" i="10"/>
  <c r="M18" i="10" s="1"/>
  <c r="M19" i="10" s="1"/>
  <c r="Y76" i="5"/>
  <c r="Y78" i="5" s="1"/>
  <c r="N70" i="9" s="1"/>
  <c r="W78" i="5"/>
  <c r="W86" i="5" s="1"/>
  <c r="M45" i="5"/>
  <c r="K47" i="5"/>
  <c r="Q63" i="5"/>
  <c r="O63" i="5"/>
  <c r="M63" i="5"/>
  <c r="G64" i="5"/>
  <c r="M59" i="9" s="1"/>
  <c r="S63" i="5"/>
  <c r="K63" i="5"/>
  <c r="O58" i="9" s="1"/>
  <c r="Y63" i="5"/>
  <c r="I63" i="5"/>
  <c r="I64" i="5" s="1"/>
  <c r="U63" i="5"/>
  <c r="W63" i="5"/>
  <c r="S13" i="5"/>
  <c r="S16" i="5" s="1"/>
  <c r="Y84" i="5"/>
  <c r="Q50" i="5"/>
  <c r="O53" i="5"/>
  <c r="S44" i="5"/>
  <c r="Q18" i="5"/>
  <c r="K55" i="5" l="1"/>
  <c r="O56" i="9" s="1"/>
  <c r="O54" i="9"/>
  <c r="Y86" i="5"/>
  <c r="N72" i="9" s="1"/>
  <c r="O45" i="5"/>
  <c r="M47" i="5"/>
  <c r="M55" i="5" s="1"/>
  <c r="U94" i="5"/>
  <c r="S94" i="5"/>
  <c r="Y94" i="5"/>
  <c r="W94" i="5"/>
  <c r="Q94" i="5"/>
  <c r="O94" i="5"/>
  <c r="K94" i="5"/>
  <c r="O74" i="9" s="1"/>
  <c r="M94" i="5"/>
  <c r="I94" i="5"/>
  <c r="G94" i="5"/>
  <c r="G95" i="5" s="1"/>
  <c r="M75" i="9" s="1"/>
  <c r="M58" i="9"/>
  <c r="G65" i="5"/>
  <c r="M60" i="9" s="1"/>
  <c r="U13" i="5"/>
  <c r="U16" i="5" s="1"/>
  <c r="N71" i="9"/>
  <c r="U44" i="5"/>
  <c r="S50" i="5"/>
  <c r="Q53" i="5"/>
  <c r="S18" i="5"/>
  <c r="Q45" i="5" l="1"/>
  <c r="O47" i="5"/>
  <c r="O55" i="5" s="1"/>
  <c r="G96" i="5"/>
  <c r="M76" i="9" s="1"/>
  <c r="M74" i="9"/>
  <c r="W13" i="5"/>
  <c r="W16" i="5" s="1"/>
  <c r="U50" i="5"/>
  <c r="S53" i="5"/>
  <c r="W44" i="5"/>
  <c r="U18" i="5"/>
  <c r="S45" i="5" l="1"/>
  <c r="Q47" i="5"/>
  <c r="Q55" i="5" s="1"/>
  <c r="Y13" i="5"/>
  <c r="Y16" i="5" s="1"/>
  <c r="Y44" i="5"/>
  <c r="W50" i="5"/>
  <c r="U53" i="5"/>
  <c r="W18" i="5"/>
  <c r="U45" i="5" l="1"/>
  <c r="S47" i="5"/>
  <c r="S55" i="5" s="1"/>
  <c r="Y50" i="5"/>
  <c r="Y53" i="5" s="1"/>
  <c r="W53" i="5"/>
  <c r="Y18" i="5"/>
  <c r="W45" i="5" l="1"/>
  <c r="U47" i="5"/>
  <c r="U55" i="5" s="1"/>
  <c r="N55" i="9"/>
  <c r="N38" i="9"/>
  <c r="Y45" i="5" l="1"/>
  <c r="Y47" i="5" s="1"/>
  <c r="W47" i="5"/>
  <c r="W55" i="5" s="1"/>
  <c r="M40" i="9"/>
  <c r="Y55" i="5" l="1"/>
  <c r="N56" i="9" s="1"/>
  <c r="N54" i="9"/>
  <c r="I19" i="5"/>
  <c r="K19" i="5" l="1"/>
  <c r="I22" i="5"/>
  <c r="I24" i="5" s="1"/>
  <c r="K22" i="5" l="1"/>
  <c r="M19" i="5"/>
  <c r="K24" i="5" l="1"/>
  <c r="O40" i="9" s="1"/>
  <c r="O39" i="9"/>
  <c r="O19" i="5"/>
  <c r="M22" i="5"/>
  <c r="M24" i="5" s="1"/>
  <c r="O22" i="5" l="1"/>
  <c r="O24" i="5" s="1"/>
  <c r="Q19" i="5"/>
  <c r="S19" i="5" l="1"/>
  <c r="Q22" i="5"/>
  <c r="Q24" i="5" s="1"/>
  <c r="U19" i="5" l="1"/>
  <c r="S22" i="5"/>
  <c r="S24" i="5" s="1"/>
  <c r="U22" i="5" l="1"/>
  <c r="U24" i="5" s="1"/>
  <c r="W19" i="5"/>
  <c r="Y19" i="5" l="1"/>
  <c r="Y22" i="5" s="1"/>
  <c r="W22" i="5"/>
  <c r="W24" i="5" s="1"/>
  <c r="N39" i="9" l="1"/>
  <c r="Y24" i="5"/>
  <c r="N40" i="9" s="1"/>
  <c r="Q47" i="2" l="1"/>
  <c r="G46" i="9"/>
  <c r="Q53" i="2" l="1"/>
  <c r="G27" i="5"/>
  <c r="J41" i="9" s="1"/>
  <c r="G48" i="9"/>
  <c r="G29" i="5" l="1"/>
  <c r="G30" i="5"/>
  <c r="J40" i="9" s="1"/>
  <c r="G28" i="5"/>
  <c r="J38" i="9" s="1"/>
  <c r="G99" i="5"/>
  <c r="M79" i="9" s="1"/>
  <c r="G68" i="5"/>
  <c r="M63" i="9" s="1"/>
  <c r="J39" i="9" l="1"/>
  <c r="E13" i="10"/>
  <c r="G97" i="5"/>
  <c r="M78" i="9" s="1"/>
  <c r="G66" i="5"/>
  <c r="M62" i="9" s="1"/>
  <c r="W64" i="5" l="1"/>
  <c r="W66" i="5" s="1"/>
  <c r="O64" i="5"/>
  <c r="O68" i="5" s="1"/>
  <c r="I65" i="5"/>
  <c r="M64" i="5"/>
  <c r="M68" i="5" s="1"/>
  <c r="N58" i="9"/>
  <c r="M95" i="5"/>
  <c r="M99" i="5" s="1"/>
  <c r="K65" i="5"/>
  <c r="O60" i="9" s="1"/>
  <c r="I96" i="5"/>
  <c r="W96" i="5"/>
  <c r="N74" i="9"/>
  <c r="K95" i="5"/>
  <c r="S95" i="5"/>
  <c r="S97" i="5" s="1"/>
  <c r="S65" i="5"/>
  <c r="U95" i="5"/>
  <c r="U99" i="5" s="1"/>
  <c r="Q95" i="5"/>
  <c r="Q99" i="5" s="1"/>
  <c r="Q65" i="5"/>
  <c r="U65" i="5"/>
  <c r="W95" i="5"/>
  <c r="W97" i="5" s="1"/>
  <c r="K96" i="5"/>
  <c r="O76" i="9" s="1"/>
  <c r="Q96" i="5"/>
  <c r="W65" i="5"/>
  <c r="K99" i="5" l="1"/>
  <c r="O79" i="9" s="1"/>
  <c r="O75" i="9"/>
  <c r="Q97" i="5"/>
  <c r="W68" i="5"/>
  <c r="S64" i="5"/>
  <c r="S66" i="5" s="1"/>
  <c r="Q64" i="5"/>
  <c r="Q68" i="5" s="1"/>
  <c r="I68" i="5"/>
  <c r="M65" i="5"/>
  <c r="U64" i="5"/>
  <c r="U68" i="5" s="1"/>
  <c r="K97" i="5"/>
  <c r="O78" i="9" s="1"/>
  <c r="O66" i="5"/>
  <c r="Y95" i="5"/>
  <c r="N75" i="9" s="1"/>
  <c r="W99" i="5"/>
  <c r="Y96" i="5"/>
  <c r="N76" i="9" s="1"/>
  <c r="Y65" i="5"/>
  <c r="N60" i="9" s="1"/>
  <c r="S96" i="5"/>
  <c r="O65" i="5"/>
  <c r="S99" i="5"/>
  <c r="M66" i="5"/>
  <c r="M97" i="5"/>
  <c r="K64" i="5"/>
  <c r="I95" i="5"/>
  <c r="M96" i="5"/>
  <c r="O95" i="5"/>
  <c r="O96" i="5"/>
  <c r="U97" i="5"/>
  <c r="U96" i="5"/>
  <c r="Y64" i="5"/>
  <c r="K66" i="5" l="1"/>
  <c r="O62" i="9" s="1"/>
  <c r="O59" i="9"/>
  <c r="I99" i="5"/>
  <c r="Y68" i="5"/>
  <c r="N63" i="9" s="1"/>
  <c r="N59" i="9"/>
  <c r="S68" i="5"/>
  <c r="Q66" i="5"/>
  <c r="I66" i="5"/>
  <c r="U66" i="5"/>
  <c r="Y99" i="5"/>
  <c r="N79" i="9" s="1"/>
  <c r="Y97" i="5"/>
  <c r="N78" i="9" s="1"/>
  <c r="I97" i="5"/>
  <c r="Y66" i="5"/>
  <c r="N62" i="9" s="1"/>
  <c r="O97" i="5"/>
  <c r="O99" i="5"/>
  <c r="K68" i="5"/>
  <c r="O63" i="9" s="1"/>
  <c r="Q54" i="2"/>
  <c r="Q55" i="2"/>
  <c r="E18" i="10" l="1"/>
  <c r="Q51" i="2"/>
  <c r="E19" i="10" l="1"/>
  <c r="S32" i="5" s="1"/>
  <c r="S33" i="5" l="1"/>
  <c r="S35" i="5" s="1"/>
  <c r="S34" i="5"/>
  <c r="G32" i="5"/>
  <c r="G33" i="5" s="1"/>
  <c r="G35" i="5" s="1"/>
  <c r="M46" i="9" s="1"/>
  <c r="I32" i="5"/>
  <c r="I33" i="5" s="1"/>
  <c r="I37" i="5" s="1"/>
  <c r="W32" i="5"/>
  <c r="W34" i="5" s="1"/>
  <c r="Y32" i="5"/>
  <c r="O32" i="5"/>
  <c r="O33" i="5" s="1"/>
  <c r="O35" i="5" s="1"/>
  <c r="K32" i="5"/>
  <c r="Q32" i="5"/>
  <c r="M32" i="5"/>
  <c r="M34" i="5" s="1"/>
  <c r="U32" i="5"/>
  <c r="U34" i="5" s="1"/>
  <c r="S37" i="5"/>
  <c r="K34" i="5" l="1"/>
  <c r="O44" i="9" s="1"/>
  <c r="O42" i="9"/>
  <c r="G37" i="5"/>
  <c r="M47" i="9" s="1"/>
  <c r="M43" i="9"/>
  <c r="O37" i="5"/>
  <c r="I35" i="5"/>
  <c r="M42" i="9"/>
  <c r="I34" i="5"/>
  <c r="W33" i="5"/>
  <c r="W35" i="5" s="1"/>
  <c r="G34" i="5"/>
  <c r="M44" i="9" s="1"/>
  <c r="M33" i="5"/>
  <c r="M37" i="5" s="1"/>
  <c r="N42" i="9"/>
  <c r="Y33" i="5"/>
  <c r="Y34" i="5"/>
  <c r="N44" i="9" s="1"/>
  <c r="O34" i="5"/>
  <c r="U33" i="5"/>
  <c r="U35" i="5" s="1"/>
  <c r="Q33" i="5"/>
  <c r="Q34" i="5"/>
  <c r="K33" i="5"/>
  <c r="O43" i="9" s="1"/>
  <c r="W37" i="5" l="1"/>
  <c r="M35" i="5"/>
  <c r="U37" i="5"/>
  <c r="K35" i="5"/>
  <c r="O46" i="9" s="1"/>
  <c r="K37" i="5"/>
  <c r="O47" i="9" s="1"/>
  <c r="Q37" i="5"/>
  <c r="Q35" i="5"/>
  <c r="N43" i="9"/>
  <c r="Y35" i="5"/>
  <c r="N46" i="9" s="1"/>
  <c r="Y37" i="5"/>
  <c r="N47" i="9" s="1"/>
</calcChain>
</file>

<file path=xl/sharedStrings.xml><?xml version="1.0" encoding="utf-8"?>
<sst xmlns="http://schemas.openxmlformats.org/spreadsheetml/2006/main" count="605" uniqueCount="240">
  <si>
    <t>SF</t>
  </si>
  <si>
    <t>Cost/SF</t>
  </si>
  <si>
    <t>Site</t>
  </si>
  <si>
    <t>USES</t>
  </si>
  <si>
    <t>TOTAL PROJECT SOURCES</t>
  </si>
  <si>
    <t>Site Area (SF)</t>
  </si>
  <si>
    <t>Building Footprint SF</t>
  </si>
  <si>
    <t>Ground Floor Commercial SF</t>
  </si>
  <si>
    <t>Ground Floor NSF</t>
  </si>
  <si>
    <t>Resi Upper Floor SF</t>
  </si>
  <si>
    <t>Main Resi Floor Count</t>
  </si>
  <si>
    <t>Adtl. Resi  Floor</t>
  </si>
  <si>
    <t>Adtl. Floor Count</t>
  </si>
  <si>
    <t>Total Floors</t>
  </si>
  <si>
    <t>Building Gross SF</t>
  </si>
  <si>
    <t>Units</t>
  </si>
  <si>
    <t>Parking Need</t>
  </si>
  <si>
    <t>Parking Provided</t>
  </si>
  <si>
    <t>Total Site Parking Need</t>
  </si>
  <si>
    <t>Total GSF Commercial</t>
  </si>
  <si>
    <t>Total GSF Residential</t>
  </si>
  <si>
    <t>Total GSF Parking</t>
  </si>
  <si>
    <t>Roadway Reconstruction GSF</t>
  </si>
  <si>
    <t>-</t>
  </si>
  <si>
    <t>PSF</t>
  </si>
  <si>
    <t>Management Fees</t>
  </si>
  <si>
    <t>Total Operating Expenses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</si>
  <si>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</si>
  <si>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</si>
  <si>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</si>
  <si>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</si>
  <si>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</si>
  <si>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</si>
  <si>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</si>
  <si>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</si>
  <si>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</si>
  <si>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</si>
  <si>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Cash on Cash on Total Equity</t>
  </si>
  <si>
    <t>TOTAL SOURCES AND USES</t>
  </si>
  <si>
    <t>Cost</t>
  </si>
  <si>
    <t>CONSTRUCTION</t>
  </si>
  <si>
    <t>ACQUISITION</t>
  </si>
  <si>
    <t>DEVELOPMENT PROFORMA</t>
  </si>
  <si>
    <t>CASH FLOW</t>
  </si>
  <si>
    <t>MORTGAGE ASSUMPTION</t>
  </si>
  <si>
    <t>Starting Date</t>
  </si>
  <si>
    <t>Next Date</t>
  </si>
  <si>
    <t>Balance</t>
  </si>
  <si>
    <t>Coupon</t>
  </si>
  <si>
    <t>C</t>
  </si>
  <si>
    <t>Coupon/12</t>
  </si>
  <si>
    <t>c</t>
  </si>
  <si>
    <t>Term</t>
  </si>
  <si>
    <t>n</t>
  </si>
  <si>
    <t>Amortization</t>
  </si>
  <si>
    <t>m</t>
  </si>
  <si>
    <t>Payment / Mo</t>
  </si>
  <si>
    <t>Payment / Yr</t>
  </si>
  <si>
    <t>Balloon</t>
  </si>
  <si>
    <t>Cash Flow after Debt</t>
  </si>
  <si>
    <t>GROSS RENT</t>
  </si>
  <si>
    <t>Lease Up / Vacancy Factor</t>
  </si>
  <si>
    <t>OPERATING EXPENSES</t>
  </si>
  <si>
    <t>Taxes</t>
  </si>
  <si>
    <t>NET OPERATING INCOME</t>
  </si>
  <si>
    <t>Occupancy</t>
  </si>
  <si>
    <t>FAR</t>
  </si>
  <si>
    <t>Land Area per DU</t>
  </si>
  <si>
    <t>Street Frontage (linear ft)</t>
  </si>
  <si>
    <t>Paving /Access Drive (GSF)</t>
  </si>
  <si>
    <t>Streetscape Area (GSF)</t>
  </si>
  <si>
    <t>Total Site Units (700 SF avg.)</t>
  </si>
  <si>
    <t>Total Development GSF</t>
  </si>
  <si>
    <t>Parking SF Surface Lot</t>
  </si>
  <si>
    <t>Parking SF Structured / Enclosed</t>
  </si>
  <si>
    <t>Uses</t>
  </si>
  <si>
    <t>Parking Spaces</t>
  </si>
  <si>
    <t>Housing UNITS</t>
  </si>
  <si>
    <t>Retail SF</t>
  </si>
  <si>
    <t>Annual Rent</t>
  </si>
  <si>
    <r>
      <t>B</t>
    </r>
    <r>
      <rPr>
        <i/>
        <vertAlign val="subscript"/>
        <sz val="10"/>
        <color rgb="FF000000"/>
        <rFont val="Arial Narrow"/>
        <family val="2"/>
      </rPr>
      <t>0</t>
    </r>
  </si>
  <si>
    <r>
      <t>P</t>
    </r>
    <r>
      <rPr>
        <i/>
        <vertAlign val="subscript"/>
        <sz val="10"/>
        <color rgb="FF000000"/>
        <rFont val="Arial Narrow"/>
        <family val="2"/>
      </rPr>
      <t>i</t>
    </r>
  </si>
  <si>
    <t>Pro-Forma</t>
  </si>
  <si>
    <t>Catalyst Site</t>
  </si>
  <si>
    <t>Station Area</t>
  </si>
  <si>
    <t>Location</t>
  </si>
  <si>
    <t>Development SF</t>
  </si>
  <si>
    <t>Developer Equity</t>
  </si>
  <si>
    <t>Public Sources</t>
  </si>
  <si>
    <t>PRO FORMA</t>
  </si>
  <si>
    <t>Gross Income</t>
  </si>
  <si>
    <t>Operating Expenses</t>
  </si>
  <si>
    <t>Annual Debt Service</t>
  </si>
  <si>
    <t>Cash Flow After Debt</t>
  </si>
  <si>
    <t>Debt Coverage Ratio</t>
  </si>
  <si>
    <t>Cash on Cash</t>
  </si>
  <si>
    <t>Return on Investment</t>
  </si>
  <si>
    <t>Total Project Costs</t>
  </si>
  <si>
    <t>Net Operating Income</t>
  </si>
  <si>
    <t>Residential SF</t>
  </si>
  <si>
    <t>Building Height (Floors)</t>
  </si>
  <si>
    <t>Construction Costs</t>
  </si>
  <si>
    <t>% Project Costs</t>
  </si>
  <si>
    <t xml:space="preserve">Developer Equity </t>
  </si>
  <si>
    <t>PROJECT TOTAL COSTS</t>
  </si>
  <si>
    <t>Financing</t>
  </si>
  <si>
    <t>Property Acquisition</t>
  </si>
  <si>
    <t>Environmental - Soil Remediation</t>
  </si>
  <si>
    <t>General Conditions</t>
  </si>
  <si>
    <t>Environmental</t>
  </si>
  <si>
    <t>Site SF</t>
  </si>
  <si>
    <t>Permiting &amp; Fees</t>
  </si>
  <si>
    <t>Development Fee</t>
  </si>
  <si>
    <t>Building Development</t>
  </si>
  <si>
    <t>Contractor's Contingency</t>
  </si>
  <si>
    <t>Overhead &amp; Fee</t>
  </si>
  <si>
    <t>General Liability Insurance</t>
  </si>
  <si>
    <t>Subcontractor Default Insurance</t>
  </si>
  <si>
    <t>Payment &amp; Performance Bond</t>
  </si>
  <si>
    <t>Mentor - Protégé</t>
  </si>
  <si>
    <t>Environmental - Abatement and Demolition</t>
  </si>
  <si>
    <t>PROFESSIONAL SERVICES</t>
  </si>
  <si>
    <t>Legal Fees</t>
  </si>
  <si>
    <t>Builder's Risk Insurance</t>
  </si>
  <si>
    <t xml:space="preserve"> Acquisition</t>
  </si>
  <si>
    <t>Cost/SF
Lump sum
Allowance</t>
  </si>
  <si>
    <t>Potential Public Sources</t>
  </si>
  <si>
    <t>Housing</t>
  </si>
  <si>
    <t>Retail &amp; Commercial</t>
  </si>
  <si>
    <t>Rent Roll - Building A</t>
  </si>
  <si>
    <t>Rent Roll - Building B</t>
  </si>
  <si>
    <t>Rent Roll - Building C</t>
  </si>
  <si>
    <t>Catalyst Site and Building</t>
  </si>
  <si>
    <t>Building A</t>
  </si>
  <si>
    <t>Building B</t>
  </si>
  <si>
    <t>Building C</t>
  </si>
  <si>
    <t>Building Type</t>
  </si>
  <si>
    <t>Total Residential SF</t>
  </si>
  <si>
    <t>Streetscape Area</t>
  </si>
  <si>
    <t>Paving/Access Drive</t>
  </si>
  <si>
    <t>Roadway Reconstruction</t>
  </si>
  <si>
    <t>Costs are held in Building development budget</t>
  </si>
  <si>
    <t>Architect, Engineers, Consultants *</t>
  </si>
  <si>
    <r>
      <rPr>
        <u/>
        <sz val="11"/>
        <color theme="1"/>
        <rFont val="Arial Narrow"/>
        <family val="2"/>
      </rPr>
      <t xml:space="preserve">* A/E fee %: </t>
    </r>
    <r>
      <rPr>
        <sz val="11"/>
        <color theme="1"/>
        <rFont val="Arial Narrow"/>
        <family val="2"/>
      </rPr>
      <t xml:space="preserve">
Project Costs of $0-$5M, 12.5% 
Project Costs of $5-$10M, 10%
Project Costs of $10-$15M, 7.5%
Project Costs of $15+M, 5%</t>
    </r>
  </si>
  <si>
    <t>Total Rent - Building A</t>
  </si>
  <si>
    <r>
      <t xml:space="preserve">Total Rent - Building </t>
    </r>
    <r>
      <rPr>
        <sz val="11"/>
        <color theme="0"/>
        <rFont val="Arial Narrow"/>
        <family val="2"/>
      </rPr>
      <t>B</t>
    </r>
  </si>
  <si>
    <t>Total Rent - Building C</t>
  </si>
  <si>
    <t>Evaluation, testing and oversight during remediation, ESA, Phase I, Phase II, ACM, Lead-based paint, Asbestos</t>
  </si>
  <si>
    <t>Planned Development, Land Acquisition</t>
  </si>
  <si>
    <t>Fee % based on range of total project costs</t>
  </si>
  <si>
    <t>PD, Part II</t>
  </si>
  <si>
    <t>Funding Source</t>
  </si>
  <si>
    <t>Cost PSF, % Fee/Cost</t>
  </si>
  <si>
    <t>Residential Units</t>
  </si>
  <si>
    <t>Demo &amp; Abatement Costs</t>
  </si>
  <si>
    <t>Acquisition Costs</t>
  </si>
  <si>
    <t>Environmental Remediation Costs</t>
  </si>
  <si>
    <t>DEVELOPMENT PROGRAM SUMMARY</t>
  </si>
  <si>
    <t>Total Development SF</t>
  </si>
  <si>
    <t>Total Site Pre-Development Costs</t>
  </si>
  <si>
    <t>Michigan</t>
  </si>
  <si>
    <t>PROJECT COSTS</t>
  </si>
  <si>
    <t>SITE DEVELOPMENT COSTS</t>
  </si>
  <si>
    <t>TOTAL CONSTRUCTION COSTS</t>
  </si>
  <si>
    <t>PROFESSIONAL SERVICES &amp; FEES</t>
  </si>
  <si>
    <t>Site Development</t>
  </si>
  <si>
    <t>Public Right-of-Way</t>
  </si>
  <si>
    <t>Insurance &amp; Contingency</t>
  </si>
  <si>
    <t>Site Base Data</t>
  </si>
  <si>
    <t>Sources and Uses</t>
  </si>
  <si>
    <t>Tab Reference</t>
  </si>
  <si>
    <t xml:space="preserve">Rent Roll </t>
  </si>
  <si>
    <t>Site Utilities</t>
  </si>
  <si>
    <t xml:space="preserve"> TIF, DCEO Grants, Federal and State Brownfields grants, if applicable</t>
  </si>
  <si>
    <t>115th &amp; Michigan</t>
  </si>
  <si>
    <r>
      <t xml:space="preserve">Construction Costs, </t>
    </r>
    <r>
      <rPr>
        <b/>
        <i/>
        <sz val="11"/>
        <color theme="0"/>
        <rFont val="Arial Narrow"/>
        <family val="2"/>
      </rPr>
      <t>rounded</t>
    </r>
  </si>
  <si>
    <r>
      <t xml:space="preserve">Professional Services, </t>
    </r>
    <r>
      <rPr>
        <b/>
        <i/>
        <sz val="11"/>
        <color theme="0"/>
        <rFont val="Arial Narrow"/>
        <family val="2"/>
      </rPr>
      <t>rounded</t>
    </r>
  </si>
  <si>
    <r>
      <t xml:space="preserve">TOTAL PROJECT SOURCES, </t>
    </r>
    <r>
      <rPr>
        <b/>
        <i/>
        <sz val="12"/>
        <color theme="0"/>
        <rFont val="Arial Narrow"/>
        <family val="2"/>
      </rPr>
      <t>rounded</t>
    </r>
  </si>
  <si>
    <r>
      <t xml:space="preserve">TOTAL PROJECT COSTS, </t>
    </r>
    <r>
      <rPr>
        <b/>
        <i/>
        <sz val="12"/>
        <color theme="0"/>
        <rFont val="Arial Narrow"/>
        <family val="2"/>
      </rPr>
      <t>rounded</t>
    </r>
  </si>
  <si>
    <t>PROJECT SOURCES</t>
  </si>
  <si>
    <t>Equity</t>
  </si>
  <si>
    <t>Debt</t>
  </si>
  <si>
    <t>Public Funding</t>
  </si>
  <si>
    <r>
      <t xml:space="preserve">Payment / Yr, </t>
    </r>
    <r>
      <rPr>
        <i/>
        <sz val="10"/>
        <color theme="1"/>
        <rFont val="Arial Narrow"/>
        <family val="2"/>
      </rPr>
      <t>rounded</t>
    </r>
  </si>
  <si>
    <t>The Site Development Costs include the costs to create a Pad-Ready site for each Building opportunity within the overall property: land acquisition, demo, environmental, utilities, and related costs</t>
  </si>
  <si>
    <t>Minimal paving to create safe, secure Pad-Ready site</t>
  </si>
  <si>
    <t>Minimal roadway reconstruction to create safe, secure Pad-Ready site</t>
  </si>
  <si>
    <t>Costs are held in Site development budget</t>
  </si>
  <si>
    <t>TIF, Neighborhood Opportunity Fund, Recovery Grant</t>
  </si>
  <si>
    <t>SF or Unit</t>
  </si>
  <si>
    <r>
      <t>B</t>
    </r>
    <r>
      <rPr>
        <i/>
        <vertAlign val="subscript"/>
        <sz val="10"/>
        <rFont val="Arial Narrow"/>
        <family val="2"/>
      </rPr>
      <t>0</t>
    </r>
  </si>
  <si>
    <r>
      <t>P</t>
    </r>
    <r>
      <rPr>
        <i/>
        <vertAlign val="subscript"/>
        <sz val="10"/>
        <rFont val="Arial Narrow"/>
        <family val="2"/>
      </rPr>
      <t>i</t>
    </r>
  </si>
  <si>
    <r>
      <t xml:space="preserve">Sub-Total: Construction Costs, </t>
    </r>
    <r>
      <rPr>
        <b/>
        <i/>
        <sz val="11"/>
        <color rgb="FF419977"/>
        <rFont val="Arial Narrow"/>
        <family val="2"/>
      </rPr>
      <t>rounded</t>
    </r>
  </si>
  <si>
    <r>
      <t xml:space="preserve">Sub-Total: Insurance &amp; Contingency, </t>
    </r>
    <r>
      <rPr>
        <b/>
        <i/>
        <sz val="11"/>
        <color rgb="FF419977"/>
        <rFont val="Arial Narrow"/>
        <family val="2"/>
      </rPr>
      <t>rounded</t>
    </r>
  </si>
  <si>
    <t>Commercial, Grocery</t>
  </si>
  <si>
    <t>Multi-family,
Retail</t>
  </si>
  <si>
    <t>Multi-family, 
Retail</t>
  </si>
  <si>
    <t>A - MU7</t>
  </si>
  <si>
    <t>B - MU5</t>
  </si>
  <si>
    <t>C - COM</t>
  </si>
  <si>
    <t>Professional Services</t>
  </si>
  <si>
    <t xml:space="preserve">Site Prep Construction Costs </t>
  </si>
  <si>
    <t xml:space="preserve">Low Income Housing Tax Credit (LIHTC) 9% 
Chicago Dept of Housing Home Investment Partnerships Porgram (HOME) 
Affordable Requirements Ordinance (ARO) Funds
Illiniois Affordable Housing Tax Credits (Donation Tax Credit) 
DCEO grant
HUD Mortgage Insurance-Rental Program - 221(d)(4)
TIF </t>
  </si>
  <si>
    <t xml:space="preserve">Site Pre-Development </t>
  </si>
  <si>
    <t>mix of market and affordable TBD</t>
  </si>
  <si>
    <t>Reserves</t>
  </si>
  <si>
    <t>Rent SF, Annual</t>
  </si>
  <si>
    <t>Effective Gross Income</t>
  </si>
  <si>
    <t>DCR = 1.0</t>
  </si>
  <si>
    <t>Partnerships with emerging and minority contractors</t>
  </si>
  <si>
    <t>Type</t>
  </si>
  <si>
    <t>NNN</t>
  </si>
  <si>
    <t>Expense Reimbursements</t>
  </si>
  <si>
    <t>Rent SF
Monthly</t>
  </si>
  <si>
    <t>Allowance</t>
  </si>
  <si>
    <t>Allowance for utility connections</t>
  </si>
  <si>
    <t>Minimal site development scope to create safe, secure Pad-Ready site, earth work &amp; regrading</t>
  </si>
  <si>
    <t>Allowance for utility disconnections and relocations as part of alley vacation &amp; dedication strategy</t>
  </si>
  <si>
    <t>Site Pre-Development (Pad Ready)</t>
  </si>
  <si>
    <t>Building C (Stand Alone Retail)</t>
  </si>
  <si>
    <t>Building B (Resi over Retail)</t>
  </si>
  <si>
    <t>Building A (Resi over Retail)</t>
  </si>
  <si>
    <t>mill overlay, restoration, curb &amp; gutter</t>
  </si>
  <si>
    <t>Allowance for disposal of spoils related to foundations if required</t>
  </si>
  <si>
    <t>Allowance for remediation of entire site (estimate pending ESAs, UST removal &amp; capping strategy RAP)</t>
  </si>
  <si>
    <t>Allowance for disposal of spoils related to foundations if required (no deep foundations)</t>
  </si>
  <si>
    <t>Demolition and abatement of any structures on the subject property already complete.  Foundations of former buildings likely exist, but considered in site development (prep) below</t>
  </si>
  <si>
    <t>Owner's Contingency</t>
  </si>
  <si>
    <t>Cost to acquire property, assumes City sale for $1, also assumes City acquisition of private property through other sources not contemplated here (TIF, other)</t>
  </si>
  <si>
    <t>Value to be determined if Master Developer sells development pad to building developer</t>
  </si>
  <si>
    <t>RED LINE EXTENSION  - IMPLEMENTATION PLAN - CATALYST SITES - DEVELOPMENT BUDGET &amp; PROFORMA</t>
  </si>
  <si>
    <t>CATALYST SITE DEVELOPMENT SUMMARY</t>
  </si>
  <si>
    <t>RED LINE EXTENSION  - IMPLEMENTATION PLAN - CATALYST SITE - DEVELOPMENT BUDGET &amp; PROFORMA</t>
  </si>
  <si>
    <t>Development - Building A</t>
  </si>
  <si>
    <t>Development - Building B</t>
  </si>
  <si>
    <t>Development - Building C</t>
  </si>
  <si>
    <t>Public Right-of-Way &amp; Utilities</t>
  </si>
  <si>
    <t>Environmental &amp; Utilities</t>
  </si>
  <si>
    <t>TBD</t>
  </si>
  <si>
    <t xml:space="preserve">Site Development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</si>
</sst>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??_-;_-@_-"/>
    <numFmt numFmtId="165" formatCode="&quot;$&quot;#,##0"/>
    <numFmt numFmtId="166" formatCode="_(* #,##0_);_(* \(#,##0\);_(* &quot;-&quot;??_);_(@_)"/>
    <numFmt numFmtId="167" formatCode="_(&quot;$&quot;* #,##0_);_(&quot;$&quot;* \(#,##0\);_(&quot;$&quot;* &quot;-&quot;??_);_(@_)"/>
    <numFmt numFmtId="168" formatCode="0.0000%"/>
    <numFmt numFmtId="169" formatCode="0.0%"/>
    <numFmt numFmtId="170" formatCode="#,##0.0"/>
    <numFmt numFmtId="171" formatCode="0.0000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Arial Narrow"/>
      <family val="2"/>
    </font>
    <font>
      <sz val="11"/>
      <color rgb="FF0000FF"/>
      <name val="Arial Narrow"/>
      <family val="2"/>
    </font>
    <font>
      <i/>
      <sz val="11"/>
      <color rgb="FF3F6DC1"/>
      <name val="Arial Narrow"/>
      <family val="2"/>
    </font>
    <font>
      <u/>
      <sz val="11"/>
      <name val="Arial Narrow"/>
      <family val="2"/>
    </font>
    <font>
      <u val="singleAccounting"/>
      <sz val="12"/>
      <name val="Arial Narrow"/>
      <family val="2"/>
    </font>
    <font>
      <i/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vertAlign val="subscript"/>
      <sz val="10"/>
      <color rgb="FF000000"/>
      <name val="Arial Narrow"/>
      <family val="2"/>
    </font>
    <font>
      <sz val="10"/>
      <color rgb="FFFFFFFF"/>
      <name val="Arial Narrow"/>
      <family val="2"/>
    </font>
    <font>
      <i/>
      <sz val="10"/>
      <color rgb="FFFFFFFF"/>
      <name val="Arial Narrow"/>
      <family val="2"/>
    </font>
    <font>
      <b/>
      <sz val="11"/>
      <color theme="8" tint="-0.249977111117893"/>
      <name val="Arial Narrow"/>
      <family val="2"/>
    </font>
    <font>
      <sz val="11"/>
      <color rgb="FFFF0000"/>
      <name val="Arial Narrow"/>
      <family val="2"/>
    </font>
    <font>
      <sz val="11"/>
      <color rgb="FF00B050"/>
      <name val="Arial Narrow"/>
      <family val="2"/>
    </font>
    <font>
      <b/>
      <sz val="12"/>
      <color rgb="FF42B07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10"/>
      <color theme="2" tint="-0.499984740745262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name val="Arial Narrow"/>
      <family val="2"/>
    </font>
    <font>
      <b/>
      <sz val="12"/>
      <color theme="1"/>
      <name val="Arial Narrow"/>
      <family val="2"/>
    </font>
    <font>
      <sz val="14"/>
      <color theme="1"/>
      <name val="Arial Narrow"/>
      <family val="2"/>
    </font>
    <font>
      <sz val="14"/>
      <color theme="0"/>
      <name val="Arial Narrow"/>
      <family val="2"/>
    </font>
    <font>
      <sz val="10"/>
      <color rgb="FF000000"/>
      <name val="Arial Narrow"/>
      <family val="2"/>
    </font>
    <font>
      <sz val="18"/>
      <name val="Arial Narrow"/>
      <family val="2"/>
    </font>
    <font>
      <b/>
      <sz val="14"/>
      <name val="Arial Narrow"/>
      <family val="2"/>
    </font>
    <font>
      <b/>
      <sz val="14"/>
      <color rgb="FFFF0000"/>
      <name val="Arial Narrow"/>
      <family val="2"/>
    </font>
    <font>
      <u val="singleAccounting"/>
      <sz val="11"/>
      <name val="Arial Narrow"/>
      <family val="2"/>
    </font>
    <font>
      <b/>
      <i/>
      <sz val="11"/>
      <color theme="0"/>
      <name val="Arial Narrow"/>
      <family val="2"/>
    </font>
    <font>
      <b/>
      <i/>
      <sz val="12"/>
      <color theme="0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i/>
      <vertAlign val="subscript"/>
      <sz val="10"/>
      <name val="Arial Narrow"/>
      <family val="2"/>
    </font>
    <font>
      <b/>
      <sz val="11"/>
      <color rgb="FF419977"/>
      <name val="Arial Narrow"/>
      <family val="2"/>
    </font>
    <font>
      <b/>
      <i/>
      <sz val="11"/>
      <color rgb="FF419977"/>
      <name val="Arial Narrow"/>
      <family val="2"/>
    </font>
    <font>
      <sz val="12"/>
      <color rgb="FF000000"/>
      <name val="Arial Narrow"/>
      <family val="2"/>
    </font>
    <font>
      <b/>
      <sz val="14"/>
      <color theme="1"/>
      <name val="Arial Narrow"/>
      <family val="2"/>
    </font>
    <font>
      <b/>
      <sz val="18"/>
      <color theme="1"/>
      <name val="Arial Narrow"/>
      <family val="2"/>
    </font>
    <font>
      <sz val="14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72AAD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rgb="FFBFBFBF"/>
      </patternFill>
    </fill>
    <fill>
      <patternFill patternType="solid">
        <fgColor rgb="FFFFC9C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8782"/>
        <bgColor indexed="64"/>
      </patternFill>
    </fill>
    <fill>
      <patternFill patternType="solid">
        <fgColor rgb="FFEA8782"/>
        <bgColor rgb="FF969696"/>
      </patternFill>
    </fill>
    <fill>
      <patternFill patternType="solid">
        <fgColor rgb="FFFFCDCD"/>
        <bgColor indexed="64"/>
      </patternFill>
    </fill>
    <fill>
      <patternFill patternType="solid">
        <fgColor rgb="FF47A78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78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Border="1"/>
    <xf numFmtId="0" fontId="5" fillId="0" borderId="0" xfId="0" applyFont="1" applyFill="1" applyBorder="1"/>
    <xf numFmtId="0" fontId="6" fillId="0" borderId="0" xfId="0" applyFont="1" applyBorder="1" applyAlignment="1">
      <alignment vertical="top" wrapText="1"/>
    </xf>
    <xf numFmtId="0" fontId="5" fillId="0" borderId="0" xfId="0" applyFont="1" applyAlignment="1">
      <alignment vertical="center"/>
    </xf>
    <xf numFmtId="0" fontId="6" fillId="0" borderId="0" xfId="0" applyFont="1" applyFill="1" applyAlignment="1">
      <alignment vertical="top"/>
    </xf>
    <xf numFmtId="42" fontId="6" fillId="0" borderId="0" xfId="0" applyNumberFormat="1" applyFont="1" applyFill="1" applyAlignment="1">
      <alignment vertical="top"/>
    </xf>
    <xf numFmtId="42" fontId="9" fillId="0" borderId="0" xfId="0" applyNumberFormat="1" applyFont="1" applyFill="1" applyAlignment="1">
      <alignment horizontal="left" vertical="top"/>
    </xf>
    <xf numFmtId="42" fontId="9" fillId="0" borderId="0" xfId="0" applyNumberFormat="1" applyFont="1" applyFill="1" applyAlignment="1">
      <alignment vertical="top"/>
    </xf>
    <xf numFmtId="166" fontId="6" fillId="0" borderId="0" xfId="1" applyNumberFormat="1" applyFont="1" applyFill="1" applyBorder="1" applyAlignment="1">
      <alignment vertical="top"/>
    </xf>
    <xf numFmtId="0" fontId="10" fillId="0" borderId="0" xfId="0" applyFont="1" applyBorder="1"/>
    <xf numFmtId="0" fontId="5" fillId="0" borderId="0" xfId="4" applyFont="1" applyBorder="1"/>
    <xf numFmtId="0" fontId="5" fillId="0" borderId="0" xfId="4" applyFont="1" applyFill="1" applyBorder="1"/>
    <xf numFmtId="167" fontId="5" fillId="0" borderId="0" xfId="2" applyNumberFormat="1" applyFont="1" applyBorder="1"/>
    <xf numFmtId="166" fontId="5" fillId="0" borderId="0" xfId="4" applyNumberFormat="1" applyFont="1" applyFill="1" applyBorder="1" applyAlignment="1">
      <alignment horizontal="right"/>
    </xf>
    <xf numFmtId="43" fontId="5" fillId="0" borderId="0" xfId="4" applyNumberFormat="1" applyFont="1" applyFill="1" applyBorder="1"/>
    <xf numFmtId="10" fontId="5" fillId="0" borderId="0" xfId="4" applyNumberFormat="1" applyFont="1" applyFill="1" applyBorder="1"/>
    <xf numFmtId="6" fontId="5" fillId="0" borderId="0" xfId="4" applyNumberFormat="1" applyFont="1" applyFill="1" applyBorder="1" applyAlignment="1">
      <alignment horizontal="right"/>
    </xf>
    <xf numFmtId="0" fontId="5" fillId="0" borderId="0" xfId="4" applyFont="1" applyBorder="1" applyAlignment="1">
      <alignment vertical="center"/>
    </xf>
    <xf numFmtId="42" fontId="7" fillId="0" borderId="0" xfId="0" applyNumberFormat="1" applyFont="1" applyFill="1" applyBorder="1" applyAlignment="1">
      <alignment vertical="center"/>
    </xf>
    <xf numFmtId="0" fontId="9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6" fillId="0" borderId="0" xfId="0" applyFont="1" applyFill="1"/>
    <xf numFmtId="0" fontId="5" fillId="0" borderId="0" xfId="4" applyFont="1" applyFill="1" applyBorder="1" applyAlignment="1">
      <alignment horizontal="right"/>
    </xf>
    <xf numFmtId="0" fontId="5" fillId="0" borderId="0" xfId="0" applyFont="1" applyAlignment="1">
      <alignment horizontal="right"/>
    </xf>
    <xf numFmtId="3" fontId="6" fillId="0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right" vertical="center" wrapText="1"/>
    </xf>
    <xf numFmtId="170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22" fillId="0" borderId="5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 wrapText="1"/>
    </xf>
    <xf numFmtId="0" fontId="6" fillId="0" borderId="0" xfId="0" applyFont="1" applyFill="1" applyBorder="1" applyAlignment="1">
      <alignment horizontal="right"/>
    </xf>
    <xf numFmtId="0" fontId="6" fillId="0" borderId="0" xfId="4" applyFont="1" applyFill="1" applyBorder="1" applyAlignment="1">
      <alignment horizontal="right" vertical="center"/>
    </xf>
    <xf numFmtId="166" fontId="6" fillId="0" borderId="0" xfId="4" applyNumberFormat="1" applyFont="1" applyFill="1" applyBorder="1" applyAlignment="1">
      <alignment horizontal="right" vertical="center"/>
    </xf>
    <xf numFmtId="166" fontId="17" fillId="0" borderId="0" xfId="4" applyNumberFormat="1" applyFont="1" applyFill="1" applyBorder="1" applyAlignment="1">
      <alignment horizontal="right" vertical="center"/>
    </xf>
    <xf numFmtId="166" fontId="5" fillId="0" borderId="0" xfId="4" applyNumberFormat="1" applyFont="1" applyFill="1" applyBorder="1" applyAlignment="1">
      <alignment vertical="center"/>
    </xf>
    <xf numFmtId="166" fontId="5" fillId="0" borderId="0" xfId="4" applyNumberFormat="1" applyFont="1" applyBorder="1" applyAlignment="1">
      <alignment vertical="center"/>
    </xf>
    <xf numFmtId="167" fontId="5" fillId="0" borderId="0" xfId="2" applyNumberFormat="1" applyFont="1" applyBorder="1" applyAlignment="1">
      <alignment vertical="center"/>
    </xf>
    <xf numFmtId="2" fontId="5" fillId="0" borderId="0" xfId="4" applyNumberFormat="1" applyFont="1" applyFill="1" applyBorder="1" applyAlignment="1">
      <alignment vertical="center"/>
    </xf>
    <xf numFmtId="166" fontId="12" fillId="0" borderId="0" xfId="4" applyNumberFormat="1" applyFont="1" applyBorder="1" applyAlignment="1">
      <alignment vertical="center"/>
    </xf>
    <xf numFmtId="166" fontId="12" fillId="0" borderId="0" xfId="4" applyNumberFormat="1" applyFont="1" applyFill="1" applyBorder="1" applyAlignment="1">
      <alignment vertical="center"/>
    </xf>
    <xf numFmtId="0" fontId="11" fillId="0" borderId="0" xfId="4" applyFont="1" applyBorder="1" applyAlignment="1">
      <alignment vertical="center"/>
    </xf>
    <xf numFmtId="166" fontId="11" fillId="0" borderId="0" xfId="4" applyNumberFormat="1" applyFont="1" applyBorder="1" applyAlignment="1">
      <alignment vertical="center"/>
    </xf>
    <xf numFmtId="167" fontId="11" fillId="0" borderId="0" xfId="2" applyNumberFormat="1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vertical="center"/>
    </xf>
    <xf numFmtId="44" fontId="5" fillId="0" borderId="0" xfId="4" applyNumberFormat="1" applyFont="1" applyFill="1" applyBorder="1" applyAlignment="1">
      <alignment vertical="center"/>
    </xf>
    <xf numFmtId="37" fontId="5" fillId="0" borderId="0" xfId="4" applyNumberFormat="1" applyFont="1" applyBorder="1" applyAlignment="1">
      <alignment vertical="center"/>
    </xf>
    <xf numFmtId="9" fontId="15" fillId="0" borderId="0" xfId="4" applyNumberFormat="1" applyFont="1" applyFill="1" applyBorder="1" applyAlignment="1">
      <alignment vertical="center"/>
    </xf>
    <xf numFmtId="10" fontId="11" fillId="0" borderId="0" xfId="4" applyNumberFormat="1" applyFont="1" applyBorder="1" applyAlignment="1">
      <alignment vertical="center"/>
    </xf>
    <xf numFmtId="167" fontId="15" fillId="0" borderId="0" xfId="4" applyNumberFormat="1" applyFont="1" applyFill="1" applyBorder="1" applyAlignment="1">
      <alignment vertical="center"/>
    </xf>
    <xf numFmtId="167" fontId="10" fillId="0" borderId="0" xfId="2" applyNumberFormat="1" applyFont="1" applyBorder="1" applyAlignment="1">
      <alignment vertical="center"/>
    </xf>
    <xf numFmtId="166" fontId="11" fillId="0" borderId="0" xfId="4" applyNumberFormat="1" applyFont="1" applyFill="1" applyBorder="1" applyAlignment="1">
      <alignment vertical="center"/>
    </xf>
    <xf numFmtId="167" fontId="7" fillId="0" borderId="0" xfId="2" applyNumberFormat="1" applyFont="1" applyFill="1" applyBorder="1" applyAlignment="1">
      <alignment vertical="center"/>
    </xf>
    <xf numFmtId="167" fontId="6" fillId="0" borderId="0" xfId="2" applyNumberFormat="1" applyFont="1" applyFill="1" applyBorder="1" applyAlignment="1">
      <alignment vertical="center"/>
    </xf>
    <xf numFmtId="10" fontId="10" fillId="0" borderId="0" xfId="4" applyNumberFormat="1" applyFont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2" fontId="5" fillId="0" borderId="0" xfId="4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Border="1"/>
    <xf numFmtId="0" fontId="7" fillId="0" borderId="0" xfId="0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70" fontId="5" fillId="0" borderId="0" xfId="0" applyNumberFormat="1" applyFont="1" applyFill="1" applyBorder="1" applyAlignment="1">
      <alignment horizontal="center" vertical="center"/>
    </xf>
    <xf numFmtId="167" fontId="8" fillId="7" borderId="0" xfId="2" applyNumberFormat="1" applyFont="1" applyFill="1" applyBorder="1" applyAlignment="1">
      <alignment vertical="center"/>
    </xf>
    <xf numFmtId="167" fontId="11" fillId="7" borderId="0" xfId="2" applyNumberFormat="1" applyFont="1" applyFill="1" applyBorder="1" applyAlignment="1">
      <alignment vertical="center"/>
    </xf>
    <xf numFmtId="44" fontId="8" fillId="7" borderId="0" xfId="2" applyNumberFormat="1" applyFont="1" applyFill="1" applyBorder="1" applyAlignment="1">
      <alignment vertical="center"/>
    </xf>
    <xf numFmtId="167" fontId="10" fillId="7" borderId="0" xfId="2" applyNumberFormat="1" applyFont="1" applyFill="1" applyBorder="1" applyAlignment="1">
      <alignment vertical="center"/>
    </xf>
    <xf numFmtId="0" fontId="10" fillId="7" borderId="0" xfId="4" applyFont="1" applyFill="1" applyBorder="1" applyAlignment="1">
      <alignment vertical="center"/>
    </xf>
    <xf numFmtId="166" fontId="10" fillId="7" borderId="0" xfId="4" applyNumberFormat="1" applyFont="1" applyFill="1" applyBorder="1" applyAlignment="1">
      <alignment vertical="center"/>
    </xf>
    <xf numFmtId="167" fontId="8" fillId="7" borderId="0" xfId="2" applyNumberFormat="1" applyFont="1" applyFill="1" applyBorder="1" applyAlignment="1">
      <alignment horizontal="right" vertical="center"/>
    </xf>
    <xf numFmtId="166" fontId="8" fillId="7" borderId="0" xfId="4" applyNumberFormat="1" applyFont="1" applyFill="1" applyBorder="1" applyAlignment="1">
      <alignment horizontal="right" vertical="center"/>
    </xf>
    <xf numFmtId="0" fontId="5" fillId="7" borderId="0" xfId="4" applyFont="1" applyFill="1" applyBorder="1" applyAlignment="1">
      <alignment vertical="center"/>
    </xf>
    <xf numFmtId="166" fontId="5" fillId="7" borderId="0" xfId="4" applyNumberFormat="1" applyFont="1" applyFill="1" applyBorder="1" applyAlignment="1">
      <alignment vertical="center"/>
    </xf>
    <xf numFmtId="168" fontId="5" fillId="7" borderId="0" xfId="4" applyNumberFormat="1" applyFont="1" applyFill="1" applyBorder="1" applyAlignment="1">
      <alignment vertical="center"/>
    </xf>
    <xf numFmtId="169" fontId="8" fillId="7" borderId="0" xfId="4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wrapText="1"/>
    </xf>
    <xf numFmtId="167" fontId="19" fillId="0" borderId="0" xfId="0" applyNumberFormat="1" applyFont="1" applyFill="1" applyBorder="1" applyAlignment="1">
      <alignment horizontal="center"/>
    </xf>
    <xf numFmtId="44" fontId="5" fillId="0" borderId="0" xfId="0" applyNumberFormat="1" applyFont="1" applyFill="1" applyBorder="1" applyAlignment="1">
      <alignment horizontal="center"/>
    </xf>
    <xf numFmtId="37" fontId="5" fillId="0" borderId="0" xfId="2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horizontal="right" vertical="center"/>
    </xf>
    <xf numFmtId="42" fontId="28" fillId="0" borderId="0" xfId="0" applyNumberFormat="1" applyFont="1" applyFill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25" xfId="0" applyFont="1" applyFill="1" applyBorder="1"/>
    <xf numFmtId="0" fontId="5" fillId="0" borderId="25" xfId="0" applyFont="1" applyBorder="1"/>
    <xf numFmtId="3" fontId="7" fillId="5" borderId="1" xfId="0" applyNumberFormat="1" applyFont="1" applyFill="1" applyBorder="1" applyAlignment="1">
      <alignment horizontal="right" vertical="center" wrapText="1"/>
    </xf>
    <xf numFmtId="166" fontId="6" fillId="0" borderId="0" xfId="1" applyNumberFormat="1" applyFont="1" applyFill="1"/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>
      <alignment horizontal="center"/>
    </xf>
    <xf numFmtId="166" fontId="5" fillId="12" borderId="1" xfId="4" applyNumberFormat="1" applyFont="1" applyFill="1" applyBorder="1" applyAlignment="1">
      <alignment vertical="center"/>
    </xf>
    <xf numFmtId="37" fontId="5" fillId="4" borderId="0" xfId="2" applyNumberFormat="1" applyFont="1" applyFill="1" applyBorder="1" applyAlignment="1">
      <alignment vertical="center"/>
    </xf>
    <xf numFmtId="0" fontId="8" fillId="0" borderId="0" xfId="0" applyFont="1" applyFill="1" applyBorder="1"/>
    <xf numFmtId="167" fontId="8" fillId="0" borderId="0" xfId="0" applyNumberFormat="1" applyFont="1" applyFill="1" applyBorder="1" applyAlignment="1">
      <alignment horizontal="center"/>
    </xf>
    <xf numFmtId="0" fontId="21" fillId="0" borderId="0" xfId="0" applyFont="1" applyFill="1"/>
    <xf numFmtId="0" fontId="21" fillId="0" borderId="0" xfId="0" applyFont="1"/>
    <xf numFmtId="0" fontId="5" fillId="0" borderId="0" xfId="4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Fill="1"/>
    <xf numFmtId="0" fontId="36" fillId="0" borderId="0" xfId="0" applyFont="1" applyFill="1" applyBorder="1" applyAlignment="1">
      <alignment horizontal="center" vertical="center"/>
    </xf>
    <xf numFmtId="0" fontId="37" fillId="0" borderId="0" xfId="0" applyFont="1"/>
    <xf numFmtId="167" fontId="5" fillId="0" borderId="0" xfId="2" applyNumberFormat="1" applyFont="1"/>
    <xf numFmtId="0" fontId="5" fillId="0" borderId="9" xfId="0" applyFont="1" applyFill="1" applyBorder="1"/>
    <xf numFmtId="0" fontId="5" fillId="0" borderId="9" xfId="0" applyFont="1" applyBorder="1"/>
    <xf numFmtId="0" fontId="5" fillId="0" borderId="22" xfId="0" applyFont="1" applyBorder="1"/>
    <xf numFmtId="0" fontId="5" fillId="0" borderId="14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167" fontId="5" fillId="0" borderId="18" xfId="2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167" fontId="5" fillId="0" borderId="1" xfId="2" applyNumberFormat="1" applyFont="1" applyFill="1" applyBorder="1"/>
    <xf numFmtId="166" fontId="5" fillId="0" borderId="1" xfId="1" applyNumberFormat="1" applyFont="1" applyBorder="1"/>
    <xf numFmtId="0" fontId="10" fillId="0" borderId="9" xfId="0" applyFont="1" applyBorder="1"/>
    <xf numFmtId="167" fontId="5" fillId="0" borderId="1" xfId="2" applyNumberFormat="1" applyFont="1" applyBorder="1"/>
    <xf numFmtId="0" fontId="10" fillId="0" borderId="11" xfId="0" applyFont="1" applyBorder="1"/>
    <xf numFmtId="166" fontId="10" fillId="0" borderId="1" xfId="1" applyNumberFormat="1" applyFont="1" applyBorder="1"/>
    <xf numFmtId="167" fontId="10" fillId="0" borderId="1" xfId="2" applyNumberFormat="1" applyFont="1" applyBorder="1"/>
    <xf numFmtId="167" fontId="10" fillId="0" borderId="10" xfId="2" applyNumberFormat="1" applyFont="1" applyBorder="1"/>
    <xf numFmtId="0" fontId="10" fillId="0" borderId="9" xfId="0" applyFont="1" applyFill="1" applyBorder="1"/>
    <xf numFmtId="166" fontId="10" fillId="0" borderId="12" xfId="1" applyNumberFormat="1" applyFont="1" applyBorder="1"/>
    <xf numFmtId="167" fontId="10" fillId="0" borderId="12" xfId="2" applyNumberFormat="1" applyFont="1" applyBorder="1"/>
    <xf numFmtId="0" fontId="10" fillId="0" borderId="11" xfId="0" applyFont="1" applyFill="1" applyBorder="1"/>
    <xf numFmtId="166" fontId="10" fillId="0" borderId="0" xfId="1" applyNumberFormat="1" applyFont="1" applyBorder="1"/>
    <xf numFmtId="167" fontId="10" fillId="0" borderId="0" xfId="2" applyNumberFormat="1" applyFont="1" applyBorder="1"/>
    <xf numFmtId="44" fontId="5" fillId="0" borderId="0" xfId="2" applyNumberFormat="1" applyFont="1" applyFill="1" applyBorder="1"/>
    <xf numFmtId="0" fontId="10" fillId="0" borderId="0" xfId="0" applyFont="1" applyFill="1" applyBorder="1"/>
    <xf numFmtId="169" fontId="10" fillId="0" borderId="0" xfId="0" applyNumberFormat="1" applyFont="1" applyFill="1" applyBorder="1"/>
    <xf numFmtId="0" fontId="5" fillId="0" borderId="0" xfId="0" applyFont="1" applyAlignment="1">
      <alignment horizontal="left"/>
    </xf>
    <xf numFmtId="0" fontId="22" fillId="0" borderId="5" xfId="0" applyFont="1" applyFill="1" applyBorder="1" applyAlignment="1">
      <alignment horizontal="center"/>
    </xf>
    <xf numFmtId="0" fontId="22" fillId="0" borderId="29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0" fontId="40" fillId="0" borderId="0" xfId="0" applyFont="1" applyFill="1"/>
    <xf numFmtId="0" fontId="7" fillId="0" borderId="0" xfId="0" applyFont="1" applyFill="1"/>
    <xf numFmtId="166" fontId="5" fillId="0" borderId="0" xfId="1" applyNumberFormat="1" applyFont="1"/>
    <xf numFmtId="166" fontId="7" fillId="5" borderId="4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right"/>
    </xf>
    <xf numFmtId="166" fontId="6" fillId="3" borderId="4" xfId="1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right" vertical="center" wrapText="1"/>
    </xf>
    <xf numFmtId="166" fontId="6" fillId="0" borderId="4" xfId="1" applyNumberFormat="1" applyFont="1" applyBorder="1" applyAlignment="1">
      <alignment horizontal="right"/>
    </xf>
    <xf numFmtId="0" fontId="6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166" fontId="6" fillId="8" borderId="4" xfId="1" applyNumberFormat="1" applyFont="1" applyFill="1" applyBorder="1" applyAlignment="1">
      <alignment horizontal="right"/>
    </xf>
    <xf numFmtId="0" fontId="7" fillId="8" borderId="1" xfId="0" applyFont="1" applyFill="1" applyBorder="1" applyAlignment="1">
      <alignment horizontal="right" vertical="center" wrapText="1"/>
    </xf>
    <xf numFmtId="166" fontId="5" fillId="0" borderId="4" xfId="1" applyNumberFormat="1" applyFont="1" applyBorder="1" applyAlignment="1">
      <alignment horizontal="right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/>
    </xf>
    <xf numFmtId="170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1" fontId="5" fillId="0" borderId="1" xfId="0" applyNumberFormat="1" applyFont="1" applyBorder="1" applyAlignment="1">
      <alignment horizontal="right" vertical="center"/>
    </xf>
    <xf numFmtId="167" fontId="5" fillId="0" borderId="0" xfId="2" applyNumberFormat="1" applyFont="1" applyFill="1"/>
    <xf numFmtId="0" fontId="10" fillId="0" borderId="0" xfId="0" applyFont="1" applyFill="1" applyBorder="1" applyAlignment="1">
      <alignment horizontal="center"/>
    </xf>
    <xf numFmtId="0" fontId="41" fillId="0" borderId="0" xfId="0" applyFont="1" applyFill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168" fontId="5" fillId="0" borderId="0" xfId="4" applyNumberFormat="1" applyFont="1" applyFill="1" applyBorder="1" applyAlignment="1">
      <alignment vertical="center"/>
    </xf>
    <xf numFmtId="169" fontId="8" fillId="0" borderId="0" xfId="4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6" fontId="7" fillId="0" borderId="0" xfId="1" applyNumberFormat="1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indent="1"/>
    </xf>
    <xf numFmtId="0" fontId="10" fillId="5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 wrapText="1" indent="1"/>
    </xf>
    <xf numFmtId="0" fontId="5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right" indent="1"/>
    </xf>
    <xf numFmtId="0" fontId="30" fillId="0" borderId="0" xfId="0" applyFont="1" applyFill="1" applyBorder="1" applyAlignment="1">
      <alignment vertical="center"/>
    </xf>
    <xf numFmtId="0" fontId="21" fillId="0" borderId="27" xfId="0" applyFont="1" applyFill="1" applyBorder="1"/>
    <xf numFmtId="0" fontId="22" fillId="0" borderId="1" xfId="0" applyFont="1" applyFill="1" applyBorder="1" applyAlignment="1">
      <alignment horizontal="center"/>
    </xf>
    <xf numFmtId="0" fontId="21" fillId="0" borderId="9" xfId="0" applyFont="1" applyFill="1" applyBorder="1"/>
    <xf numFmtId="14" fontId="21" fillId="0" borderId="10" xfId="0" applyNumberFormat="1" applyFont="1" applyBorder="1"/>
    <xf numFmtId="0" fontId="21" fillId="0" borderId="36" xfId="0" applyFont="1" applyFill="1" applyBorder="1"/>
    <xf numFmtId="14" fontId="21" fillId="0" borderId="37" xfId="0" applyNumberFormat="1" applyFont="1" applyBorder="1"/>
    <xf numFmtId="0" fontId="21" fillId="0" borderId="38" xfId="0" applyFont="1" applyFill="1" applyBorder="1"/>
    <xf numFmtId="171" fontId="21" fillId="0" borderId="39" xfId="0" applyNumberFormat="1" applyFont="1" applyFill="1" applyBorder="1"/>
    <xf numFmtId="171" fontId="39" fillId="0" borderId="40" xfId="0" applyNumberFormat="1" applyFont="1" applyFill="1" applyBorder="1"/>
    <xf numFmtId="0" fontId="24" fillId="0" borderId="38" xfId="0" applyFont="1" applyFill="1" applyBorder="1"/>
    <xf numFmtId="0" fontId="31" fillId="0" borderId="40" xfId="0" applyFont="1" applyFill="1" applyBorder="1"/>
    <xf numFmtId="0" fontId="21" fillId="0" borderId="38" xfId="0" applyFont="1" applyBorder="1"/>
    <xf numFmtId="0" fontId="21" fillId="0" borderId="41" xfId="0" applyFont="1" applyBorder="1"/>
    <xf numFmtId="0" fontId="22" fillId="0" borderId="42" xfId="0" applyFont="1" applyBorder="1"/>
    <xf numFmtId="167" fontId="21" fillId="0" borderId="43" xfId="0" applyNumberFormat="1" applyFont="1" applyBorder="1"/>
    <xf numFmtId="14" fontId="21" fillId="0" borderId="39" xfId="0" applyNumberFormat="1" applyFont="1" applyBorder="1"/>
    <xf numFmtId="171" fontId="21" fillId="0" borderId="40" xfId="0" applyNumberFormat="1" applyFont="1" applyFill="1" applyBorder="1"/>
    <xf numFmtId="0" fontId="5" fillId="5" borderId="0" xfId="0" applyFont="1" applyFill="1"/>
    <xf numFmtId="166" fontId="6" fillId="0" borderId="0" xfId="1" applyNumberFormat="1" applyFont="1" applyFill="1" applyAlignment="1"/>
    <xf numFmtId="0" fontId="6" fillId="0" borderId="0" xfId="0" applyFont="1" applyFill="1" applyAlignment="1"/>
    <xf numFmtId="0" fontId="40" fillId="0" borderId="0" xfId="0" applyFont="1" applyFill="1" applyAlignment="1"/>
    <xf numFmtId="3" fontId="6" fillId="0" borderId="23" xfId="0" applyNumberFormat="1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/>
    </xf>
    <xf numFmtId="167" fontId="5" fillId="12" borderId="10" xfId="2" applyNumberFormat="1" applyFont="1" applyFill="1" applyBorder="1"/>
    <xf numFmtId="167" fontId="10" fillId="12" borderId="10" xfId="2" applyNumberFormat="1" applyFont="1" applyFill="1" applyBorder="1"/>
    <xf numFmtId="166" fontId="5" fillId="12" borderId="1" xfId="1" applyNumberFormat="1" applyFont="1" applyFill="1" applyBorder="1"/>
    <xf numFmtId="167" fontId="5" fillId="12" borderId="1" xfId="2" applyNumberFormat="1" applyFont="1" applyFill="1" applyBorder="1"/>
    <xf numFmtId="167" fontId="10" fillId="12" borderId="13" xfId="2" applyNumberFormat="1" applyFont="1" applyFill="1" applyBorder="1"/>
    <xf numFmtId="3" fontId="7" fillId="5" borderId="2" xfId="0" applyNumberFormat="1" applyFont="1" applyFill="1" applyBorder="1" applyAlignment="1">
      <alignment horizontal="left" vertical="center" indent="2"/>
    </xf>
    <xf numFmtId="0" fontId="6" fillId="5" borderId="4" xfId="0" applyFont="1" applyFill="1" applyBorder="1" applyAlignment="1"/>
    <xf numFmtId="0" fontId="6" fillId="5" borderId="3" xfId="0" applyFont="1" applyFill="1" applyBorder="1" applyAlignment="1"/>
    <xf numFmtId="166" fontId="6" fillId="5" borderId="4" xfId="1" applyNumberFormat="1" applyFont="1" applyFill="1" applyBorder="1" applyAlignment="1"/>
    <xf numFmtId="0" fontId="42" fillId="0" borderId="0" xfId="0" applyFont="1" applyFill="1" applyAlignment="1">
      <alignment horizontal="left" vertical="center"/>
    </xf>
    <xf numFmtId="0" fontId="5" fillId="13" borderId="0" xfId="0" applyFont="1" applyFill="1"/>
    <xf numFmtId="0" fontId="6" fillId="12" borderId="0" xfId="0" applyFont="1" applyFill="1"/>
    <xf numFmtId="0" fontId="6" fillId="9" borderId="0" xfId="0" applyFont="1" applyFill="1" applyAlignment="1"/>
    <xf numFmtId="37" fontId="5" fillId="13" borderId="0" xfId="4" applyNumberFormat="1" applyFont="1" applyFill="1" applyBorder="1" applyAlignment="1">
      <alignment vertical="center"/>
    </xf>
    <xf numFmtId="3" fontId="5" fillId="13" borderId="1" xfId="0" applyNumberFormat="1" applyFont="1" applyFill="1" applyBorder="1"/>
    <xf numFmtId="3" fontId="5" fillId="13" borderId="10" xfId="0" applyNumberFormat="1" applyFont="1" applyFill="1" applyBorder="1"/>
    <xf numFmtId="3" fontId="5" fillId="13" borderId="23" xfId="0" applyNumberFormat="1" applyFont="1" applyFill="1" applyBorder="1"/>
    <xf numFmtId="3" fontId="5" fillId="13" borderId="24" xfId="0" applyNumberFormat="1" applyFont="1" applyFill="1" applyBorder="1"/>
    <xf numFmtId="0" fontId="10" fillId="4" borderId="0" xfId="0" applyFont="1" applyFill="1" applyBorder="1" applyAlignment="1">
      <alignment horizontal="center"/>
    </xf>
    <xf numFmtId="166" fontId="5" fillId="11" borderId="0" xfId="4" applyNumberFormat="1" applyFont="1" applyFill="1" applyBorder="1" applyAlignment="1">
      <alignment vertical="center"/>
    </xf>
    <xf numFmtId="0" fontId="5" fillId="11" borderId="0" xfId="4" applyFont="1" applyFill="1" applyBorder="1"/>
    <xf numFmtId="3" fontId="5" fillId="13" borderId="0" xfId="0" applyNumberFormat="1" applyFont="1" applyFill="1" applyBorder="1" applyAlignment="1">
      <alignment horizontal="center"/>
    </xf>
    <xf numFmtId="0" fontId="8" fillId="15" borderId="0" xfId="0" applyFont="1" applyFill="1" applyBorder="1"/>
    <xf numFmtId="0" fontId="5" fillId="5" borderId="45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42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2" xfId="0" applyFont="1" applyBorder="1" applyAlignment="1">
      <alignment horizontal="left"/>
    </xf>
    <xf numFmtId="0" fontId="6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37" fillId="0" borderId="0" xfId="0" applyFont="1" applyFill="1" applyBorder="1"/>
    <xf numFmtId="0" fontId="38" fillId="0" borderId="0" xfId="0" applyFont="1" applyFill="1" applyAlignment="1">
      <alignment horizontal="left" vertical="center"/>
    </xf>
    <xf numFmtId="0" fontId="5" fillId="16" borderId="0" xfId="4" applyFont="1" applyFill="1" applyBorder="1"/>
    <xf numFmtId="9" fontId="5" fillId="0" borderId="0" xfId="4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42" fontId="6" fillId="0" borderId="0" xfId="0" applyNumberFormat="1" applyFont="1" applyFill="1" applyAlignment="1">
      <alignment vertical="center"/>
    </xf>
    <xf numFmtId="42" fontId="6" fillId="0" borderId="0" xfId="0" applyNumberFormat="1" applyFont="1" applyFill="1" applyBorder="1" applyAlignment="1">
      <alignment vertical="top"/>
    </xf>
    <xf numFmtId="0" fontId="10" fillId="0" borderId="0" xfId="0" applyFont="1" applyFill="1" applyBorder="1" applyAlignment="1">
      <alignment horizontal="left"/>
    </xf>
    <xf numFmtId="166" fontId="5" fillId="13" borderId="8" xfId="1" applyNumberFormat="1" applyFont="1" applyFill="1" applyBorder="1"/>
    <xf numFmtId="0" fontId="6" fillId="0" borderId="0" xfId="0" applyFont="1"/>
    <xf numFmtId="0" fontId="14" fillId="0" borderId="0" xfId="0" applyFont="1"/>
    <xf numFmtId="0" fontId="38" fillId="0" borderId="0" xfId="0" applyFont="1" applyFill="1" applyAlignment="1">
      <alignment horizontal="center" vertical="center" wrapText="1"/>
    </xf>
    <xf numFmtId="0" fontId="5" fillId="0" borderId="30" xfId="0" applyFont="1" applyFill="1" applyBorder="1" applyAlignment="1">
      <alignment horizontal="left"/>
    </xf>
    <xf numFmtId="3" fontId="6" fillId="0" borderId="1" xfId="0" applyNumberFormat="1" applyFont="1" applyFill="1" applyBorder="1" applyAlignment="1">
      <alignment horizontal="center" vertical="center" wrapText="1"/>
    </xf>
    <xf numFmtId="166" fontId="5" fillId="0" borderId="16" xfId="1" applyNumberFormat="1" applyFont="1" applyFill="1" applyBorder="1"/>
    <xf numFmtId="166" fontId="5" fillId="0" borderId="46" xfId="1" applyNumberFormat="1" applyFont="1" applyFill="1" applyBorder="1"/>
    <xf numFmtId="0" fontId="14" fillId="0" borderId="0" xfId="4" applyFont="1" applyFill="1" applyBorder="1"/>
    <xf numFmtId="0" fontId="14" fillId="0" borderId="0" xfId="4" applyFont="1" applyBorder="1"/>
    <xf numFmtId="3" fontId="5" fillId="0" borderId="1" xfId="0" applyNumberFormat="1" applyFont="1" applyFill="1" applyBorder="1" applyAlignment="1">
      <alignment horizontal="center" vertical="center" wrapText="1"/>
    </xf>
    <xf numFmtId="3" fontId="6" fillId="13" borderId="31" xfId="0" applyNumberFormat="1" applyFont="1" applyFill="1" applyBorder="1" applyAlignment="1">
      <alignment horizontal="center" vertical="center" wrapText="1"/>
    </xf>
    <xf numFmtId="3" fontId="6" fillId="13" borderId="32" xfId="0" applyNumberFormat="1" applyFont="1" applyFill="1" applyBorder="1" applyAlignment="1">
      <alignment horizontal="center" vertical="center" wrapText="1"/>
    </xf>
    <xf numFmtId="42" fontId="10" fillId="0" borderId="28" xfId="0" applyNumberFormat="1" applyFont="1" applyFill="1" applyBorder="1"/>
    <xf numFmtId="167" fontId="5" fillId="12" borderId="46" xfId="2" applyNumberFormat="1" applyFont="1" applyFill="1" applyBorder="1"/>
    <xf numFmtId="0" fontId="10" fillId="0" borderId="19" xfId="0" applyFont="1" applyFill="1" applyBorder="1" applyAlignment="1">
      <alignment horizontal="left"/>
    </xf>
    <xf numFmtId="42" fontId="8" fillId="0" borderId="0" xfId="0" applyNumberFormat="1" applyFont="1" applyFill="1" applyBorder="1" applyAlignment="1">
      <alignment horizontal="center" vertical="center"/>
    </xf>
    <xf numFmtId="42" fontId="6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left"/>
    </xf>
    <xf numFmtId="1" fontId="3" fillId="0" borderId="0" xfId="1" applyNumberFormat="1" applyFont="1" applyFill="1" applyBorder="1" applyAlignment="1">
      <alignment horizontal="left"/>
    </xf>
    <xf numFmtId="166" fontId="18" fillId="0" borderId="0" xfId="1" applyNumberFormat="1" applyFont="1" applyFill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5" fillId="0" borderId="25" xfId="0" applyFont="1" applyFill="1" applyBorder="1" applyAlignment="1">
      <alignment horizontal="left"/>
    </xf>
    <xf numFmtId="1" fontId="18" fillId="0" borderId="0" xfId="1" applyNumberFormat="1" applyFont="1" applyFill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6" fillId="0" borderId="0" xfId="0" applyFont="1" applyFill="1" applyBorder="1"/>
    <xf numFmtId="3" fontId="5" fillId="0" borderId="0" xfId="0" applyNumberFormat="1" applyFont="1" applyBorder="1" applyAlignment="1">
      <alignment horizontal="center" wrapText="1"/>
    </xf>
    <xf numFmtId="0" fontId="14" fillId="0" borderId="0" xfId="0" applyFont="1" applyFill="1"/>
    <xf numFmtId="0" fontId="9" fillId="0" borderId="0" xfId="4" applyFont="1" applyFill="1" applyBorder="1" applyAlignment="1">
      <alignment vertical="center"/>
    </xf>
    <xf numFmtId="0" fontId="6" fillId="0" borderId="0" xfId="0" applyFont="1" applyFill="1" applyBorder="1"/>
    <xf numFmtId="1" fontId="31" fillId="0" borderId="0" xfId="1" applyNumberFormat="1" applyFont="1" applyFill="1" applyBorder="1" applyAlignment="1">
      <alignment horizontal="left" wrapText="1"/>
    </xf>
    <xf numFmtId="166" fontId="3" fillId="0" borderId="0" xfId="1" applyNumberFormat="1" applyFont="1" applyFill="1" applyBorder="1" applyAlignment="1">
      <alignment horizontal="left"/>
    </xf>
    <xf numFmtId="1" fontId="47" fillId="0" borderId="0" xfId="1" applyNumberFormat="1" applyFont="1" applyFill="1" applyBorder="1" applyAlignment="1">
      <alignment horizontal="left" wrapText="1"/>
    </xf>
    <xf numFmtId="0" fontId="6" fillId="0" borderId="48" xfId="0" applyFont="1" applyFill="1" applyBorder="1" applyAlignment="1">
      <alignment vertical="top"/>
    </xf>
    <xf numFmtId="164" fontId="8" fillId="0" borderId="48" xfId="2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21" fillId="0" borderId="4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 vertical="top"/>
    </xf>
    <xf numFmtId="0" fontId="21" fillId="0" borderId="46" xfId="0" applyFont="1" applyFill="1" applyBorder="1" applyAlignment="1">
      <alignment horizontal="left"/>
    </xf>
    <xf numFmtId="167" fontId="6" fillId="0" borderId="0" xfId="2" applyNumberFormat="1" applyFont="1" applyFill="1" applyBorder="1" applyAlignment="1">
      <alignment vertical="top"/>
    </xf>
    <xf numFmtId="42" fontId="7" fillId="0" borderId="0" xfId="0" applyNumberFormat="1" applyFont="1" applyFill="1" applyBorder="1" applyAlignment="1">
      <alignment horizontal="left" vertical="top"/>
    </xf>
    <xf numFmtId="42" fontId="6" fillId="0" borderId="0" xfId="0" applyNumberFormat="1" applyFont="1" applyFill="1" applyBorder="1" applyAlignment="1">
      <alignment vertical="center"/>
    </xf>
    <xf numFmtId="42" fontId="6" fillId="0" borderId="0" xfId="0" applyNumberFormat="1" applyFont="1" applyBorder="1" applyAlignment="1">
      <alignment vertical="center"/>
    </xf>
    <xf numFmtId="42" fontId="31" fillId="0" borderId="46" xfId="0" applyNumberFormat="1" applyFont="1" applyFill="1" applyBorder="1" applyAlignment="1">
      <alignment horizontal="left" vertical="center" wrapText="1"/>
    </xf>
    <xf numFmtId="0" fontId="5" fillId="0" borderId="49" xfId="0" applyFont="1" applyFill="1" applyBorder="1" applyAlignment="1">
      <alignment wrapText="1"/>
    </xf>
    <xf numFmtId="42" fontId="7" fillId="0" borderId="0" xfId="0" applyNumberFormat="1" applyFont="1" applyBorder="1" applyAlignment="1">
      <alignment vertical="center"/>
    </xf>
    <xf numFmtId="42" fontId="7" fillId="0" borderId="42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" fontId="6" fillId="0" borderId="0" xfId="1" applyNumberFormat="1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left" wrapText="1"/>
    </xf>
    <xf numFmtId="0" fontId="21" fillId="0" borderId="33" xfId="0" applyFont="1" applyFill="1" applyBorder="1"/>
    <xf numFmtId="0" fontId="21" fillId="0" borderId="46" xfId="0" applyFont="1" applyFill="1" applyBorder="1"/>
    <xf numFmtId="0" fontId="31" fillId="0" borderId="46" xfId="0" applyFont="1" applyFill="1" applyBorder="1"/>
    <xf numFmtId="0" fontId="21" fillId="0" borderId="46" xfId="0" applyFont="1" applyFill="1" applyBorder="1" applyAlignment="1">
      <alignment vertical="center"/>
    </xf>
    <xf numFmtId="0" fontId="21" fillId="0" borderId="46" xfId="0" applyFont="1" applyBorder="1"/>
    <xf numFmtId="0" fontId="5" fillId="0" borderId="42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1" fillId="0" borderId="42" xfId="0" applyFont="1" applyBorder="1" applyAlignment="1">
      <alignment horizontal="left" vertical="top" wrapText="1"/>
    </xf>
    <xf numFmtId="0" fontId="21" fillId="0" borderId="46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6" fillId="0" borderId="15" xfId="0" applyFont="1" applyBorder="1" applyAlignment="1">
      <alignment vertical="top"/>
    </xf>
    <xf numFmtId="0" fontId="6" fillId="0" borderId="26" xfId="0" applyFont="1" applyBorder="1" applyAlignment="1">
      <alignment vertical="top"/>
    </xf>
    <xf numFmtId="42" fontId="6" fillId="0" borderId="26" xfId="0" applyNumberFormat="1" applyFont="1" applyBorder="1" applyAlignment="1">
      <alignment vertical="top"/>
    </xf>
    <xf numFmtId="0" fontId="5" fillId="0" borderId="15" xfId="0" applyFont="1" applyFill="1" applyBorder="1"/>
    <xf numFmtId="0" fontId="5" fillId="0" borderId="26" xfId="0" applyFont="1" applyFill="1" applyBorder="1"/>
    <xf numFmtId="0" fontId="21" fillId="0" borderId="51" xfId="0" applyFont="1" applyFill="1" applyBorder="1"/>
    <xf numFmtId="0" fontId="5" fillId="0" borderId="26" xfId="0" applyFont="1" applyBorder="1"/>
    <xf numFmtId="0" fontId="5" fillId="0" borderId="15" xfId="0" applyFont="1" applyBorder="1"/>
    <xf numFmtId="0" fontId="21" fillId="0" borderId="16" xfId="0" applyFont="1" applyBorder="1"/>
    <xf numFmtId="0" fontId="21" fillId="0" borderId="51" xfId="0" applyFont="1" applyBorder="1"/>
    <xf numFmtId="0" fontId="6" fillId="0" borderId="49" xfId="4" applyFont="1" applyFill="1" applyBorder="1" applyAlignment="1">
      <alignment horizontal="right" vertical="center"/>
    </xf>
    <xf numFmtId="166" fontId="17" fillId="0" borderId="46" xfId="4" applyNumberFormat="1" applyFont="1" applyFill="1" applyBorder="1" applyAlignment="1">
      <alignment horizontal="right" vertical="center"/>
    </xf>
    <xf numFmtId="0" fontId="8" fillId="7" borderId="49" xfId="4" applyFont="1" applyFill="1" applyBorder="1" applyAlignment="1">
      <alignment vertical="center"/>
    </xf>
    <xf numFmtId="0" fontId="9" fillId="0" borderId="46" xfId="4" applyFont="1" applyFill="1" applyBorder="1" applyAlignment="1">
      <alignment horizontal="center" vertical="center"/>
    </xf>
    <xf numFmtId="0" fontId="26" fillId="0" borderId="49" xfId="4" applyFont="1" applyBorder="1" applyAlignment="1">
      <alignment vertical="center"/>
    </xf>
    <xf numFmtId="166" fontId="5" fillId="0" borderId="46" xfId="4" applyNumberFormat="1" applyFont="1" applyFill="1" applyBorder="1" applyAlignment="1">
      <alignment vertical="center"/>
    </xf>
    <xf numFmtId="0" fontId="5" fillId="0" borderId="46" xfId="4" applyFont="1" applyFill="1" applyBorder="1" applyAlignment="1">
      <alignment vertical="center"/>
    </xf>
    <xf numFmtId="0" fontId="5" fillId="0" borderId="49" xfId="4" applyFont="1" applyBorder="1" applyAlignment="1">
      <alignment horizontal="right" vertical="center"/>
    </xf>
    <xf numFmtId="167" fontId="8" fillId="7" borderId="49" xfId="2" applyNumberFormat="1" applyFont="1" applyFill="1" applyBorder="1" applyAlignment="1">
      <alignment vertical="center"/>
    </xf>
    <xf numFmtId="167" fontId="8" fillId="7" borderId="46" xfId="2" applyNumberFormat="1" applyFont="1" applyFill="1" applyBorder="1" applyAlignment="1">
      <alignment vertical="center"/>
    </xf>
    <xf numFmtId="0" fontId="26" fillId="0" borderId="49" xfId="4" applyFont="1" applyFill="1" applyBorder="1" applyAlignment="1">
      <alignment vertical="center"/>
    </xf>
    <xf numFmtId="0" fontId="14" fillId="0" borderId="46" xfId="4" applyFont="1" applyFill="1" applyBorder="1" applyAlignment="1">
      <alignment vertical="center"/>
    </xf>
    <xf numFmtId="0" fontId="12" fillId="0" borderId="49" xfId="4" applyFont="1" applyBorder="1" applyAlignment="1">
      <alignment vertical="center"/>
    </xf>
    <xf numFmtId="0" fontId="5" fillId="0" borderId="49" xfId="4" applyFont="1" applyBorder="1" applyAlignment="1">
      <alignment vertical="center"/>
    </xf>
    <xf numFmtId="167" fontId="10" fillId="7" borderId="46" xfId="2" applyNumberFormat="1" applyFont="1" applyFill="1" applyBorder="1" applyAlignment="1">
      <alignment vertical="center"/>
    </xf>
    <xf numFmtId="0" fontId="11" fillId="0" borderId="49" xfId="4" applyFont="1" applyBorder="1" applyAlignment="1">
      <alignment vertical="center"/>
    </xf>
    <xf numFmtId="167" fontId="7" fillId="0" borderId="49" xfId="2" applyNumberFormat="1" applyFont="1" applyFill="1" applyBorder="1" applyAlignment="1">
      <alignment vertical="center"/>
    </xf>
    <xf numFmtId="167" fontId="7" fillId="0" borderId="46" xfId="2" applyNumberFormat="1" applyFont="1" applyFill="1" applyBorder="1" applyAlignment="1">
      <alignment vertical="center"/>
    </xf>
    <xf numFmtId="0" fontId="6" fillId="0" borderId="49" xfId="4" applyFont="1" applyBorder="1" applyAlignment="1">
      <alignment horizontal="right" vertical="center"/>
    </xf>
    <xf numFmtId="166" fontId="8" fillId="7" borderId="46" xfId="4" applyNumberFormat="1" applyFont="1" applyFill="1" applyBorder="1" applyAlignment="1">
      <alignment horizontal="right" vertical="center"/>
    </xf>
    <xf numFmtId="0" fontId="26" fillId="0" borderId="49" xfId="4" applyFont="1" applyFill="1" applyBorder="1" applyAlignment="1">
      <alignment horizontal="left" vertical="center"/>
    </xf>
    <xf numFmtId="2" fontId="5" fillId="0" borderId="46" xfId="4" applyNumberFormat="1" applyFont="1" applyFill="1" applyBorder="1" applyAlignment="1">
      <alignment horizontal="right" vertical="center"/>
    </xf>
    <xf numFmtId="169" fontId="8" fillId="7" borderId="46" xfId="4" applyNumberFormat="1" applyFont="1" applyFill="1" applyBorder="1" applyAlignment="1">
      <alignment horizontal="right" vertical="center"/>
    </xf>
    <xf numFmtId="0" fontId="5" fillId="0" borderId="49" xfId="4" applyFont="1" applyFill="1" applyBorder="1" applyAlignment="1">
      <alignment horizontal="right"/>
    </xf>
    <xf numFmtId="166" fontId="5" fillId="0" borderId="46" xfId="4" applyNumberFormat="1" applyFont="1" applyFill="1" applyBorder="1" applyAlignment="1">
      <alignment horizontal="right"/>
    </xf>
    <xf numFmtId="0" fontId="8" fillId="7" borderId="47" xfId="4" applyFont="1" applyFill="1" applyBorder="1" applyAlignment="1">
      <alignment vertical="center"/>
    </xf>
    <xf numFmtId="0" fontId="5" fillId="7" borderId="42" xfId="4" applyFont="1" applyFill="1" applyBorder="1" applyAlignment="1">
      <alignment vertical="center"/>
    </xf>
    <xf numFmtId="166" fontId="5" fillId="7" borderId="42" xfId="4" applyNumberFormat="1" applyFont="1" applyFill="1" applyBorder="1" applyAlignment="1">
      <alignment vertical="center"/>
    </xf>
    <xf numFmtId="168" fontId="5" fillId="7" borderId="42" xfId="4" applyNumberFormat="1" applyFont="1" applyFill="1" applyBorder="1" applyAlignment="1">
      <alignment vertical="center"/>
    </xf>
    <xf numFmtId="169" fontId="8" fillId="7" borderId="42" xfId="4" applyNumberFormat="1" applyFont="1" applyFill="1" applyBorder="1" applyAlignment="1">
      <alignment horizontal="right" vertical="center"/>
    </xf>
    <xf numFmtId="169" fontId="8" fillId="7" borderId="43" xfId="4" applyNumberFormat="1" applyFont="1" applyFill="1" applyBorder="1" applyAlignment="1">
      <alignment horizontal="right" vertical="center"/>
    </xf>
    <xf numFmtId="0" fontId="8" fillId="15" borderId="44" xfId="0" applyFont="1" applyFill="1" applyBorder="1"/>
    <xf numFmtId="0" fontId="8" fillId="15" borderId="48" xfId="0" applyFont="1" applyFill="1" applyBorder="1"/>
    <xf numFmtId="0" fontId="8" fillId="15" borderId="33" xfId="0" applyFont="1" applyFill="1" applyBorder="1"/>
    <xf numFmtId="0" fontId="14" fillId="0" borderId="49" xfId="0" applyFont="1" applyBorder="1" applyAlignment="1">
      <alignment horizontal="right"/>
    </xf>
    <xf numFmtId="0" fontId="14" fillId="0" borderId="46" xfId="0" applyFont="1" applyBorder="1" applyAlignment="1">
      <alignment horizontal="right"/>
    </xf>
    <xf numFmtId="3" fontId="10" fillId="0" borderId="49" xfId="0" applyNumberFormat="1" applyFont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46" xfId="0" applyFont="1" applyBorder="1" applyAlignment="1">
      <alignment horizontal="center"/>
    </xf>
    <xf numFmtId="0" fontId="6" fillId="0" borderId="49" xfId="0" applyFont="1" applyFill="1" applyBorder="1" applyAlignment="1">
      <alignment horizontal="right"/>
    </xf>
    <xf numFmtId="167" fontId="5" fillId="0" borderId="46" xfId="0" applyNumberFormat="1" applyFont="1" applyBorder="1" applyAlignment="1">
      <alignment horizontal="center"/>
    </xf>
    <xf numFmtId="0" fontId="8" fillId="14" borderId="47" xfId="0" applyFont="1" applyFill="1" applyBorder="1"/>
    <xf numFmtId="0" fontId="8" fillId="14" borderId="42" xfId="0" applyFont="1" applyFill="1" applyBorder="1"/>
    <xf numFmtId="3" fontId="5" fillId="14" borderId="42" xfId="0" applyNumberFormat="1" applyFont="1" applyFill="1" applyBorder="1" applyAlignment="1">
      <alignment horizontal="center"/>
    </xf>
    <xf numFmtId="44" fontId="5" fillId="14" borderId="42" xfId="0" applyNumberFormat="1" applyFont="1" applyFill="1" applyBorder="1" applyAlignment="1">
      <alignment horizontal="center"/>
    </xf>
    <xf numFmtId="0" fontId="8" fillId="15" borderId="42" xfId="0" applyFont="1" applyFill="1" applyBorder="1"/>
    <xf numFmtId="167" fontId="8" fillId="14" borderId="43" xfId="0" applyNumberFormat="1" applyFont="1" applyFill="1" applyBorder="1" applyAlignment="1">
      <alignment horizontal="center"/>
    </xf>
    <xf numFmtId="3" fontId="10" fillId="0" borderId="49" xfId="0" applyNumberFormat="1" applyFont="1" applyBorder="1"/>
    <xf numFmtId="0" fontId="14" fillId="0" borderId="44" xfId="0" applyFont="1" applyBorder="1" applyAlignment="1">
      <alignment horizontal="right"/>
    </xf>
    <xf numFmtId="0" fontId="14" fillId="0" borderId="48" xfId="0" applyFont="1" applyBorder="1" applyAlignment="1">
      <alignment horizontal="right"/>
    </xf>
    <xf numFmtId="0" fontId="31" fillId="0" borderId="1" xfId="0" applyFont="1" applyFill="1" applyBorder="1"/>
    <xf numFmtId="0" fontId="47" fillId="0" borderId="1" xfId="0" applyFont="1" applyFill="1" applyBorder="1" applyAlignment="1">
      <alignment horizontal="center"/>
    </xf>
    <xf numFmtId="0" fontId="47" fillId="0" borderId="1" xfId="0" applyFont="1" applyFill="1" applyBorder="1"/>
    <xf numFmtId="0" fontId="5" fillId="0" borderId="0" xfId="0" applyFont="1" applyFill="1" applyBorder="1" applyAlignment="1">
      <alignment horizontal="center"/>
    </xf>
    <xf numFmtId="44" fontId="19" fillId="0" borderId="0" xfId="0" applyNumberFormat="1" applyFont="1" applyFill="1" applyBorder="1" applyAlignment="1">
      <alignment horizontal="center"/>
    </xf>
    <xf numFmtId="9" fontId="6" fillId="0" borderId="0" xfId="4" applyNumberFormat="1" applyFont="1" applyFill="1" applyBorder="1" applyAlignment="1">
      <alignment vertical="center"/>
    </xf>
    <xf numFmtId="44" fontId="6" fillId="0" borderId="0" xfId="2" applyNumberFormat="1" applyFont="1" applyFill="1" applyBorder="1" applyAlignment="1">
      <alignment vertical="center"/>
    </xf>
    <xf numFmtId="167" fontId="5" fillId="0" borderId="0" xfId="4" applyNumberFormat="1" applyFont="1" applyBorder="1" applyAlignment="1">
      <alignment vertical="center"/>
    </xf>
    <xf numFmtId="167" fontId="5" fillId="0" borderId="0" xfId="2" applyNumberFormat="1" applyFont="1" applyFill="1" applyBorder="1"/>
    <xf numFmtId="167" fontId="5" fillId="0" borderId="0" xfId="2" applyNumberFormat="1" applyFont="1" applyFill="1" applyBorder="1" applyAlignment="1">
      <alignment horizontal="center"/>
    </xf>
    <xf numFmtId="9" fontId="5" fillId="0" borderId="0" xfId="3" applyFont="1" applyFill="1" applyBorder="1" applyAlignment="1">
      <alignment vertical="center"/>
    </xf>
    <xf numFmtId="0" fontId="31" fillId="0" borderId="43" xfId="0" applyFont="1" applyFill="1" applyBorder="1" applyAlignment="1">
      <alignment horizontal="left" vertical="top" wrapText="1"/>
    </xf>
    <xf numFmtId="0" fontId="10" fillId="3" borderId="28" xfId="0" applyFont="1" applyFill="1" applyBorder="1" applyAlignment="1">
      <alignment horizontal="center"/>
    </xf>
    <xf numFmtId="2" fontId="5" fillId="0" borderId="28" xfId="4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/>
    <xf numFmtId="0" fontId="10" fillId="3" borderId="56" xfId="0" applyFont="1" applyFill="1" applyBorder="1" applyAlignment="1">
      <alignment horizontal="center"/>
    </xf>
    <xf numFmtId="0" fontId="5" fillId="0" borderId="55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167" fontId="5" fillId="9" borderId="10" xfId="2" applyNumberFormat="1" applyFont="1" applyFill="1" applyBorder="1"/>
    <xf numFmtId="167" fontId="10" fillId="9" borderId="13" xfId="2" applyNumberFormat="1" applyFont="1" applyFill="1" applyBorder="1"/>
    <xf numFmtId="167" fontId="5" fillId="9" borderId="1" xfId="0" applyNumberFormat="1" applyFont="1" applyFill="1" applyBorder="1"/>
    <xf numFmtId="167" fontId="5" fillId="9" borderId="10" xfId="0" applyNumberFormat="1" applyFont="1" applyFill="1" applyBorder="1"/>
    <xf numFmtId="167" fontId="5" fillId="9" borderId="24" xfId="0" applyNumberFormat="1" applyFont="1" applyFill="1" applyBorder="1"/>
    <xf numFmtId="167" fontId="10" fillId="9" borderId="1" xfId="0" applyNumberFormat="1" applyFont="1" applyFill="1" applyBorder="1"/>
    <xf numFmtId="167" fontId="10" fillId="9" borderId="10" xfId="0" applyNumberFormat="1" applyFont="1" applyFill="1" applyBorder="1"/>
    <xf numFmtId="0" fontId="5" fillId="9" borderId="1" xfId="0" applyFont="1" applyFill="1" applyBorder="1"/>
    <xf numFmtId="0" fontId="5" fillId="9" borderId="10" xfId="0" applyFont="1" applyFill="1" applyBorder="1"/>
    <xf numFmtId="37" fontId="5" fillId="9" borderId="1" xfId="0" applyNumberFormat="1" applyFont="1" applyFill="1" applyBorder="1"/>
    <xf numFmtId="166" fontId="5" fillId="9" borderId="10" xfId="0" applyNumberFormat="1" applyFont="1" applyFill="1" applyBorder="1"/>
    <xf numFmtId="2" fontId="10" fillId="9" borderId="1" xfId="0" applyNumberFormat="1" applyFont="1" applyFill="1" applyBorder="1"/>
    <xf numFmtId="2" fontId="10" fillId="9" borderId="10" xfId="0" applyNumberFormat="1" applyFont="1" applyFill="1" applyBorder="1"/>
    <xf numFmtId="0" fontId="10" fillId="9" borderId="1" xfId="0" applyFont="1" applyFill="1" applyBorder="1"/>
    <xf numFmtId="0" fontId="10" fillId="9" borderId="10" xfId="0" applyFont="1" applyFill="1" applyBorder="1"/>
    <xf numFmtId="169" fontId="10" fillId="9" borderId="1" xfId="0" applyNumberFormat="1" applyFont="1" applyFill="1" applyBorder="1"/>
    <xf numFmtId="169" fontId="10" fillId="9" borderId="10" xfId="0" applyNumberFormat="1" applyFont="1" applyFill="1" applyBorder="1"/>
    <xf numFmtId="169" fontId="10" fillId="9" borderId="12" xfId="0" applyNumberFormat="1" applyFont="1" applyFill="1" applyBorder="1"/>
    <xf numFmtId="169" fontId="10" fillId="9" borderId="13" xfId="0" applyNumberFormat="1" applyFont="1" applyFill="1" applyBorder="1"/>
    <xf numFmtId="167" fontId="5" fillId="9" borderId="2" xfId="0" applyNumberFormat="1" applyFont="1" applyFill="1" applyBorder="1"/>
    <xf numFmtId="167" fontId="5" fillId="9" borderId="53" xfId="0" applyNumberFormat="1" applyFont="1" applyFill="1" applyBorder="1"/>
    <xf numFmtId="167" fontId="5" fillId="9" borderId="54" xfId="0" applyNumberFormat="1" applyFont="1" applyFill="1" applyBorder="1"/>
    <xf numFmtId="167" fontId="10" fillId="9" borderId="2" xfId="0" applyNumberFormat="1" applyFont="1" applyFill="1" applyBorder="1"/>
    <xf numFmtId="167" fontId="10" fillId="9" borderId="54" xfId="0" applyNumberFormat="1" applyFont="1" applyFill="1" applyBorder="1"/>
    <xf numFmtId="0" fontId="5" fillId="9" borderId="2" xfId="0" applyFont="1" applyFill="1" applyBorder="1"/>
    <xf numFmtId="0" fontId="5" fillId="9" borderId="54" xfId="0" applyFont="1" applyFill="1" applyBorder="1"/>
    <xf numFmtId="37" fontId="5" fillId="9" borderId="2" xfId="0" applyNumberFormat="1" applyFont="1" applyFill="1" applyBorder="1"/>
    <xf numFmtId="37" fontId="5" fillId="9" borderId="54" xfId="0" applyNumberFormat="1" applyFont="1" applyFill="1" applyBorder="1"/>
    <xf numFmtId="2" fontId="10" fillId="9" borderId="2" xfId="0" applyNumberFormat="1" applyFont="1" applyFill="1" applyBorder="1"/>
    <xf numFmtId="2" fontId="10" fillId="9" borderId="54" xfId="0" applyNumberFormat="1" applyFont="1" applyFill="1" applyBorder="1"/>
    <xf numFmtId="0" fontId="10" fillId="9" borderId="2" xfId="0" applyFont="1" applyFill="1" applyBorder="1"/>
    <xf numFmtId="0" fontId="10" fillId="9" borderId="54" xfId="0" applyFont="1" applyFill="1" applyBorder="1"/>
    <xf numFmtId="169" fontId="10" fillId="9" borderId="2" xfId="0" applyNumberFormat="1" applyFont="1" applyFill="1" applyBorder="1"/>
    <xf numFmtId="169" fontId="10" fillId="9" borderId="54" xfId="0" applyNumberFormat="1" applyFont="1" applyFill="1" applyBorder="1"/>
    <xf numFmtId="169" fontId="10" fillId="9" borderId="52" xfId="0" applyNumberFormat="1" applyFont="1" applyFill="1" applyBorder="1"/>
    <xf numFmtId="169" fontId="10" fillId="9" borderId="55" xfId="0" applyNumberFormat="1" applyFont="1" applyFill="1" applyBorder="1"/>
    <xf numFmtId="0" fontId="5" fillId="0" borderId="0" xfId="0" applyFont="1" applyFill="1" applyBorder="1" applyAlignment="1">
      <alignment horizontal="center"/>
    </xf>
    <xf numFmtId="167" fontId="21" fillId="9" borderId="40" xfId="0" applyNumberFormat="1" applyFont="1" applyFill="1" applyBorder="1"/>
    <xf numFmtId="167" fontId="21" fillId="9" borderId="28" xfId="0" applyNumberFormat="1" applyFont="1" applyFill="1" applyBorder="1"/>
    <xf numFmtId="42" fontId="5" fillId="9" borderId="1" xfId="2" applyNumberFormat="1" applyFont="1" applyFill="1" applyBorder="1"/>
    <xf numFmtId="42" fontId="5" fillId="9" borderId="10" xfId="2" applyNumberFormat="1" applyFont="1" applyFill="1" applyBorder="1"/>
    <xf numFmtId="0" fontId="10" fillId="0" borderId="0" xfId="0" applyFont="1" applyFill="1" applyBorder="1" applyAlignment="1">
      <alignment horizontal="center"/>
    </xf>
    <xf numFmtId="0" fontId="22" fillId="0" borderId="29" xfId="0" applyFont="1" applyBorder="1" applyAlignment="1">
      <alignment horizontal="center"/>
    </xf>
    <xf numFmtId="167" fontId="21" fillId="0" borderId="57" xfId="0" applyNumberFormat="1" applyFont="1" applyBorder="1"/>
    <xf numFmtId="167" fontId="21" fillId="0" borderId="28" xfId="0" applyNumberFormat="1" applyFont="1" applyFill="1" applyBorder="1"/>
    <xf numFmtId="167" fontId="5" fillId="13" borderId="0" xfId="4" applyNumberFormat="1" applyFont="1" applyFill="1" applyBorder="1" applyAlignment="1">
      <alignment vertical="center"/>
    </xf>
    <xf numFmtId="166" fontId="10" fillId="0" borderId="21" xfId="1" applyNumberFormat="1" applyFont="1" applyFill="1" applyBorder="1"/>
    <xf numFmtId="42" fontId="10" fillId="0" borderId="0" xfId="0" applyNumberFormat="1" applyFont="1" applyFill="1" applyBorder="1"/>
    <xf numFmtId="3" fontId="10" fillId="0" borderId="0" xfId="0" applyNumberFormat="1" applyFont="1" applyFill="1" applyBorder="1"/>
    <xf numFmtId="42" fontId="5" fillId="12" borderId="18" xfId="0" applyNumberFormat="1" applyFont="1" applyFill="1" applyBorder="1"/>
    <xf numFmtId="0" fontId="5" fillId="0" borderId="21" xfId="0" applyFont="1" applyBorder="1"/>
    <xf numFmtId="0" fontId="5" fillId="0" borderId="0" xfId="4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164" fontId="34" fillId="0" borderId="33" xfId="2" applyNumberFormat="1" applyFont="1" applyFill="1" applyBorder="1" applyAlignment="1">
      <alignment horizontal="left" vertical="center" wrapText="1"/>
    </xf>
    <xf numFmtId="0" fontId="31" fillId="0" borderId="46" xfId="0" applyFont="1" applyBorder="1" applyAlignment="1">
      <alignment horizontal="left" vertical="top" wrapText="1"/>
    </xf>
    <xf numFmtId="0" fontId="31" fillId="0" borderId="16" xfId="0" applyFont="1" applyBorder="1" applyAlignment="1">
      <alignment horizontal="left" vertical="top" wrapText="1"/>
    </xf>
    <xf numFmtId="0" fontId="31" fillId="0" borderId="51" xfId="0" applyFont="1" applyBorder="1" applyAlignment="1">
      <alignment horizontal="left" vertical="top" wrapText="1"/>
    </xf>
    <xf numFmtId="0" fontId="21" fillId="0" borderId="46" xfId="0" applyFont="1" applyBorder="1" applyAlignment="1">
      <alignment horizontal="left" wrapText="1"/>
    </xf>
    <xf numFmtId="42" fontId="31" fillId="0" borderId="46" xfId="0" applyNumberFormat="1" applyFont="1" applyBorder="1" applyAlignment="1">
      <alignment horizontal="left" vertical="top" wrapText="1"/>
    </xf>
    <xf numFmtId="42" fontId="31" fillId="0" borderId="46" xfId="0" applyNumberFormat="1" applyFont="1" applyFill="1" applyBorder="1" applyAlignment="1">
      <alignment horizontal="left" vertical="top" wrapText="1"/>
    </xf>
    <xf numFmtId="42" fontId="31" fillId="0" borderId="51" xfId="0" applyNumberFormat="1" applyFont="1" applyBorder="1" applyAlignment="1">
      <alignment horizontal="left" vertical="top" wrapText="1"/>
    </xf>
    <xf numFmtId="42" fontId="35" fillId="0" borderId="46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left" wrapText="1"/>
    </xf>
    <xf numFmtId="0" fontId="31" fillId="0" borderId="46" xfId="0" applyFont="1" applyFill="1" applyBorder="1" applyAlignment="1">
      <alignment horizontal="left" vertical="top" wrapText="1"/>
    </xf>
    <xf numFmtId="0" fontId="5" fillId="0" borderId="0" xfId="0" applyFont="1" applyFill="1" applyAlignment="1"/>
    <xf numFmtId="0" fontId="36" fillId="0" borderId="0" xfId="0" applyFont="1" applyFill="1" applyBorder="1" applyAlignment="1">
      <alignment horizontal="center"/>
    </xf>
    <xf numFmtId="0" fontId="5" fillId="0" borderId="0" xfId="4" applyFont="1" applyFill="1" applyBorder="1" applyAlignment="1"/>
    <xf numFmtId="0" fontId="5" fillId="0" borderId="0" xfId="4" applyFont="1" applyBorder="1" applyAlignment="1"/>
    <xf numFmtId="0" fontId="6" fillId="0" borderId="48" xfId="0" applyFont="1" applyFill="1" applyBorder="1" applyAlignment="1"/>
    <xf numFmtId="42" fontId="6" fillId="0" borderId="0" xfId="0" applyNumberFormat="1" applyFont="1" applyFill="1" applyBorder="1" applyAlignment="1"/>
    <xf numFmtId="42" fontId="9" fillId="0" borderId="0" xfId="0" applyNumberFormat="1" applyFont="1" applyFill="1" applyBorder="1" applyAlignment="1">
      <alignment horizontal="left"/>
    </xf>
    <xf numFmtId="42" fontId="6" fillId="0" borderId="15" xfId="0" applyNumberFormat="1" applyFont="1" applyFill="1" applyBorder="1" applyAlignment="1"/>
    <xf numFmtId="42" fontId="6" fillId="0" borderId="26" xfId="0" applyNumberFormat="1" applyFont="1" applyFill="1" applyBorder="1" applyAlignment="1"/>
    <xf numFmtId="42" fontId="6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/>
    <xf numFmtId="167" fontId="6" fillId="0" borderId="0" xfId="2" applyNumberFormat="1" applyFont="1" applyFill="1" applyBorder="1" applyAlignment="1"/>
    <xf numFmtId="42" fontId="7" fillId="0" borderId="0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/>
    <xf numFmtId="42" fontId="7" fillId="0" borderId="26" xfId="0" applyNumberFormat="1" applyFont="1" applyFill="1" applyBorder="1" applyAlignment="1">
      <alignment horizontal="center"/>
    </xf>
    <xf numFmtId="42" fontId="6" fillId="0" borderId="42" xfId="0" applyNumberFormat="1" applyFont="1" applyFill="1" applyBorder="1" applyAlignment="1"/>
    <xf numFmtId="0" fontId="5" fillId="0" borderId="15" xfId="0" applyFont="1" applyFill="1" applyBorder="1" applyAlignment="1"/>
    <xf numFmtId="0" fontId="5" fillId="0" borderId="26" xfId="0" applyFont="1" applyFill="1" applyBorder="1" applyAlignment="1"/>
    <xf numFmtId="42" fontId="6" fillId="0" borderId="26" xfId="0" applyNumberFormat="1" applyFont="1" applyFill="1" applyBorder="1" applyAlignment="1">
      <alignment horizontal="left"/>
    </xf>
    <xf numFmtId="42" fontId="6" fillId="0" borderId="3" xfId="0" applyNumberFormat="1" applyFont="1" applyFill="1" applyBorder="1" applyAlignment="1">
      <alignment horizontal="left"/>
    </xf>
    <xf numFmtId="42" fontId="7" fillId="0" borderId="0" xfId="0" applyNumberFormat="1" applyFont="1" applyFill="1" applyBorder="1" applyAlignment="1">
      <alignment horizontal="center"/>
    </xf>
    <xf numFmtId="0" fontId="5" fillId="13" borderId="0" xfId="0" applyFont="1" applyFill="1" applyAlignment="1"/>
    <xf numFmtId="0" fontId="6" fillId="12" borderId="0" xfId="0" applyFont="1" applyFill="1" applyAlignment="1"/>
    <xf numFmtId="0" fontId="5" fillId="16" borderId="0" xfId="4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44" xfId="0" applyFont="1" applyFill="1" applyBorder="1" applyAlignment="1"/>
    <xf numFmtId="0" fontId="5" fillId="0" borderId="49" xfId="0" applyFont="1" applyFill="1" applyBorder="1" applyAlignment="1"/>
    <xf numFmtId="0" fontId="5" fillId="0" borderId="14" xfId="0" applyFont="1" applyFill="1" applyBorder="1" applyAlignment="1"/>
    <xf numFmtId="0" fontId="5" fillId="0" borderId="50" xfId="0" applyFont="1" applyFill="1" applyBorder="1" applyAlignment="1"/>
    <xf numFmtId="42" fontId="6" fillId="0" borderId="49" xfId="0" applyNumberFormat="1" applyFont="1" applyFill="1" applyBorder="1" applyAlignment="1"/>
    <xf numFmtId="166" fontId="6" fillId="0" borderId="49" xfId="1" applyNumberFormat="1" applyFont="1" applyFill="1" applyBorder="1" applyAlignment="1"/>
    <xf numFmtId="167" fontId="6" fillId="0" borderId="49" xfId="2" quotePrefix="1" applyNumberFormat="1" applyFont="1" applyFill="1" applyBorder="1" applyAlignment="1"/>
    <xf numFmtId="169" fontId="5" fillId="0" borderId="49" xfId="0" applyNumberFormat="1" applyFont="1" applyFill="1" applyBorder="1" applyAlignment="1"/>
    <xf numFmtId="169" fontId="6" fillId="0" borderId="28" xfId="0" applyNumberFormat="1" applyFont="1" applyFill="1" applyBorder="1" applyAlignment="1"/>
    <xf numFmtId="167" fontId="6" fillId="0" borderId="49" xfId="2" applyNumberFormat="1" applyFont="1" applyFill="1" applyBorder="1" applyAlignment="1"/>
    <xf numFmtId="42" fontId="8" fillId="0" borderId="49" xfId="0" applyNumberFormat="1" applyFont="1" applyFill="1" applyBorder="1" applyAlignment="1">
      <alignment horizontal="center"/>
    </xf>
    <xf numFmtId="9" fontId="6" fillId="9" borderId="49" xfId="3" applyFont="1" applyFill="1" applyBorder="1" applyAlignment="1"/>
    <xf numFmtId="9" fontId="6" fillId="9" borderId="47" xfId="3" applyFont="1" applyFill="1" applyBorder="1" applyAlignment="1"/>
    <xf numFmtId="167" fontId="5" fillId="0" borderId="49" xfId="0" applyNumberFormat="1" applyFont="1" applyFill="1" applyBorder="1" applyAlignment="1"/>
    <xf numFmtId="42" fontId="8" fillId="0" borderId="50" xfId="0" applyNumberFormat="1" applyFont="1" applyFill="1" applyBorder="1" applyAlignment="1">
      <alignment horizontal="center"/>
    </xf>
    <xf numFmtId="0" fontId="7" fillId="0" borderId="48" xfId="0" applyFont="1" applyFill="1" applyBorder="1" applyAlignment="1"/>
    <xf numFmtId="166" fontId="6" fillId="0" borderId="48" xfId="1" applyNumberFormat="1" applyFont="1" applyFill="1" applyBorder="1" applyAlignment="1"/>
    <xf numFmtId="166" fontId="6" fillId="0" borderId="0" xfId="1" applyNumberFormat="1" applyFont="1" applyFill="1" applyBorder="1" applyAlignment="1"/>
    <xf numFmtId="166" fontId="6" fillId="13" borderId="0" xfId="1" applyNumberFormat="1" applyFont="1" applyFill="1" applyBorder="1" applyAlignment="1"/>
    <xf numFmtId="169" fontId="5" fillId="0" borderId="0" xfId="0" applyNumberFormat="1" applyFont="1" applyFill="1" applyBorder="1" applyAlignment="1"/>
    <xf numFmtId="0" fontId="27" fillId="0" borderId="0" xfId="0" applyFont="1" applyFill="1" applyBorder="1" applyAlignment="1"/>
    <xf numFmtId="169" fontId="27" fillId="0" borderId="0" xfId="0" applyNumberFormat="1" applyFont="1" applyFill="1" applyBorder="1" applyAlignment="1"/>
    <xf numFmtId="0" fontId="5" fillId="0" borderId="0" xfId="0" applyFont="1" applyBorder="1" applyAlignment="1"/>
    <xf numFmtId="0" fontId="5" fillId="0" borderId="15" xfId="0" applyFont="1" applyBorder="1" applyAlignment="1"/>
    <xf numFmtId="42" fontId="8" fillId="0" borderId="26" xfId="0" applyNumberFormat="1" applyFont="1" applyFill="1" applyBorder="1" applyAlignment="1">
      <alignment horizontal="center"/>
    </xf>
    <xf numFmtId="166" fontId="8" fillId="0" borderId="26" xfId="1" applyNumberFormat="1" applyFont="1" applyFill="1" applyBorder="1" applyAlignment="1">
      <alignment horizontal="center"/>
    </xf>
    <xf numFmtId="166" fontId="6" fillId="0" borderId="42" xfId="1" applyNumberFormat="1" applyFont="1" applyFill="1" applyBorder="1" applyAlignment="1"/>
    <xf numFmtId="0" fontId="5" fillId="0" borderId="0" xfId="0" applyFont="1" applyAlignment="1"/>
    <xf numFmtId="0" fontId="30" fillId="0" borderId="0" xfId="0" applyFont="1" applyFill="1" applyBorder="1" applyAlignment="1"/>
    <xf numFmtId="0" fontId="7" fillId="0" borderId="0" xfId="0" applyFont="1" applyFill="1" applyBorder="1" applyAlignment="1"/>
    <xf numFmtId="42" fontId="8" fillId="0" borderId="0" xfId="0" applyNumberFormat="1" applyFont="1" applyFill="1" applyBorder="1" applyAlignment="1">
      <alignment horizontal="center"/>
    </xf>
    <xf numFmtId="166" fontId="8" fillId="0" borderId="0" xfId="1" applyNumberFormat="1" applyFont="1" applyFill="1" applyBorder="1" applyAlignment="1">
      <alignment horizontal="center"/>
    </xf>
    <xf numFmtId="42" fontId="43" fillId="0" borderId="42" xfId="0" applyNumberFormat="1" applyFont="1" applyFill="1" applyBorder="1" applyAlignment="1"/>
    <xf numFmtId="166" fontId="43" fillId="0" borderId="42" xfId="1" applyNumberFormat="1" applyFont="1" applyFill="1" applyBorder="1" applyAlignment="1"/>
    <xf numFmtId="0" fontId="10" fillId="0" borderId="0" xfId="0" applyFont="1" applyAlignment="1"/>
    <xf numFmtId="0" fontId="6" fillId="0" borderId="44" xfId="0" applyFont="1" applyFill="1" applyBorder="1" applyAlignment="1"/>
    <xf numFmtId="42" fontId="9" fillId="0" borderId="49" xfId="0" applyNumberFormat="1" applyFont="1" applyFill="1" applyBorder="1" applyAlignment="1">
      <alignment horizontal="left"/>
    </xf>
    <xf numFmtId="166" fontId="9" fillId="0" borderId="0" xfId="1" applyNumberFormat="1" applyFont="1" applyFill="1" applyBorder="1" applyAlignment="1">
      <alignment horizontal="left"/>
    </xf>
    <xf numFmtId="42" fontId="6" fillId="0" borderId="14" xfId="0" applyNumberFormat="1" applyFont="1" applyFill="1" applyBorder="1" applyAlignment="1"/>
    <xf numFmtId="166" fontId="6" fillId="0" borderId="15" xfId="1" applyNumberFormat="1" applyFont="1" applyFill="1" applyBorder="1" applyAlignment="1"/>
    <xf numFmtId="42" fontId="6" fillId="0" borderId="50" xfId="0" applyNumberFormat="1" applyFont="1" applyFill="1" applyBorder="1" applyAlignment="1"/>
    <xf numFmtId="166" fontId="6" fillId="0" borderId="26" xfId="1" applyNumberFormat="1" applyFont="1" applyFill="1" applyBorder="1" applyAlignment="1"/>
    <xf numFmtId="42" fontId="28" fillId="0" borderId="49" xfId="0" applyNumberFormat="1" applyFont="1" applyFill="1" applyBorder="1" applyAlignment="1">
      <alignment horizontal="left"/>
    </xf>
    <xf numFmtId="42" fontId="28" fillId="0" borderId="0" xfId="0" applyNumberFormat="1" applyFont="1" applyFill="1" applyBorder="1" applyAlignment="1">
      <alignment horizontal="left"/>
    </xf>
    <xf numFmtId="166" fontId="28" fillId="0" borderId="0" xfId="1" applyNumberFormat="1" applyFont="1" applyFill="1" applyBorder="1" applyAlignment="1">
      <alignment horizontal="left"/>
    </xf>
    <xf numFmtId="166" fontId="5" fillId="0" borderId="0" xfId="1" applyNumberFormat="1" applyFont="1" applyFill="1" applyBorder="1" applyAlignment="1"/>
    <xf numFmtId="169" fontId="6" fillId="0" borderId="49" xfId="3" applyNumberFormat="1" applyFont="1" applyFill="1" applyBorder="1" applyAlignment="1"/>
    <xf numFmtId="169" fontId="6" fillId="0" borderId="49" xfId="3" applyNumberFormat="1" applyFont="1" applyFill="1" applyBorder="1" applyAlignment="1">
      <alignment horizontal="right"/>
    </xf>
    <xf numFmtId="169" fontId="9" fillId="0" borderId="49" xfId="0" applyNumberFormat="1" applyFont="1" applyFill="1" applyBorder="1" applyAlignment="1">
      <alignment horizontal="left"/>
    </xf>
    <xf numFmtId="169" fontId="6" fillId="0" borderId="49" xfId="0" applyNumberFormat="1" applyFont="1" applyFill="1" applyBorder="1" applyAlignment="1"/>
    <xf numFmtId="10" fontId="9" fillId="0" borderId="49" xfId="0" applyNumberFormat="1" applyFont="1" applyFill="1" applyBorder="1" applyAlignment="1"/>
    <xf numFmtId="42" fontId="9" fillId="0" borderId="0" xfId="0" applyNumberFormat="1" applyFont="1" applyFill="1" applyBorder="1" applyAlignment="1"/>
    <xf numFmtId="166" fontId="9" fillId="0" borderId="0" xfId="1" applyNumberFormat="1" applyFont="1" applyFill="1" applyBorder="1" applyAlignment="1"/>
    <xf numFmtId="42" fontId="7" fillId="0" borderId="49" xfId="0" applyNumberFormat="1" applyFont="1" applyFill="1" applyBorder="1" applyAlignment="1"/>
    <xf numFmtId="166" fontId="7" fillId="0" borderId="0" xfId="1" applyNumberFormat="1" applyFont="1" applyFill="1" applyBorder="1" applyAlignment="1"/>
    <xf numFmtId="9" fontId="6" fillId="0" borderId="49" xfId="3" applyFont="1" applyFill="1" applyBorder="1" applyAlignment="1"/>
    <xf numFmtId="9" fontId="6" fillId="0" borderId="47" xfId="3" applyFont="1" applyFill="1" applyBorder="1" applyAlignment="1"/>
    <xf numFmtId="166" fontId="5" fillId="0" borderId="0" xfId="1" applyNumberFormat="1" applyFont="1" applyFill="1" applyAlignment="1"/>
    <xf numFmtId="0" fontId="10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17" borderId="0" xfId="0" applyFont="1" applyFill="1" applyBorder="1" applyAlignment="1">
      <alignment horizontal="left"/>
    </xf>
    <xf numFmtId="0" fontId="49" fillId="0" borderId="0" xfId="0" applyFont="1" applyAlignment="1"/>
    <xf numFmtId="0" fontId="6" fillId="0" borderId="0" xfId="0" applyFont="1" applyAlignment="1">
      <alignment horizontal="right"/>
    </xf>
    <xf numFmtId="0" fontId="8" fillId="17" borderId="0" xfId="0" applyFont="1" applyFill="1" applyAlignment="1">
      <alignment horizontal="left"/>
    </xf>
    <xf numFmtId="0" fontId="16" fillId="0" borderId="0" xfId="0" applyFont="1" applyAlignment="1"/>
    <xf numFmtId="0" fontId="6" fillId="0" borderId="0" xfId="0" applyFont="1" applyFill="1" applyAlignment="1">
      <alignment horizontal="right"/>
    </xf>
    <xf numFmtId="0" fontId="49" fillId="0" borderId="0" xfId="0" applyFont="1" applyFill="1" applyAlignment="1">
      <alignment horizontal="right"/>
    </xf>
    <xf numFmtId="0" fontId="29" fillId="0" borderId="0" xfId="0" applyFont="1" applyAlignment="1"/>
    <xf numFmtId="0" fontId="4" fillId="0" borderId="0" xfId="0" applyFont="1" applyFill="1" applyBorder="1" applyAlignment="1">
      <alignment horizontal="left"/>
    </xf>
    <xf numFmtId="0" fontId="6" fillId="0" borderId="0" xfId="0" applyFont="1" applyAlignment="1"/>
    <xf numFmtId="0" fontId="6" fillId="0" borderId="0" xfId="0" applyFont="1" applyFill="1" applyBorder="1"/>
    <xf numFmtId="0" fontId="21" fillId="0" borderId="46" xfId="0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36" fillId="0" borderId="0" xfId="0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wrapText="1"/>
    </xf>
    <xf numFmtId="0" fontId="21" fillId="0" borderId="33" xfId="0" applyFont="1" applyFill="1" applyBorder="1" applyAlignment="1">
      <alignment wrapText="1"/>
    </xf>
    <xf numFmtId="0" fontId="21" fillId="0" borderId="16" xfId="0" applyFont="1" applyFill="1" applyBorder="1" applyAlignment="1">
      <alignment wrapText="1"/>
    </xf>
    <xf numFmtId="0" fontId="21" fillId="0" borderId="51" xfId="0" applyFont="1" applyFill="1" applyBorder="1" applyAlignment="1">
      <alignment wrapText="1"/>
    </xf>
    <xf numFmtId="0" fontId="31" fillId="0" borderId="46" xfId="0" applyFont="1" applyFill="1" applyBorder="1" applyAlignment="1">
      <alignment wrapText="1"/>
    </xf>
    <xf numFmtId="0" fontId="21" fillId="0" borderId="46" xfId="0" applyFont="1" applyFill="1" applyBorder="1" applyAlignment="1">
      <alignment vertical="center" wrapText="1"/>
    </xf>
    <xf numFmtId="0" fontId="21" fillId="0" borderId="46" xfId="0" applyFont="1" applyBorder="1" applyAlignment="1">
      <alignment wrapText="1"/>
    </xf>
    <xf numFmtId="0" fontId="32" fillId="0" borderId="46" xfId="0" applyFont="1" applyBorder="1" applyAlignment="1">
      <alignment horizontal="left" vertical="top" wrapText="1"/>
    </xf>
    <xf numFmtId="0" fontId="5" fillId="5" borderId="28" xfId="0" applyFont="1" applyFill="1" applyBorder="1" applyAlignment="1">
      <alignment horizontal="center" wrapText="1"/>
    </xf>
    <xf numFmtId="0" fontId="38" fillId="0" borderId="0" xfId="0" applyFont="1" applyFill="1" applyBorder="1" applyAlignment="1">
      <alignment horizontal="left" vertical="center"/>
    </xf>
    <xf numFmtId="0" fontId="38" fillId="5" borderId="20" xfId="0" applyFont="1" applyFill="1" applyBorder="1" applyAlignment="1">
      <alignment horizontal="left" vertical="center"/>
    </xf>
    <xf numFmtId="0" fontId="38" fillId="5" borderId="21" xfId="0" applyFont="1" applyFill="1" applyBorder="1" applyAlignment="1">
      <alignment horizontal="left" vertical="center"/>
    </xf>
    <xf numFmtId="0" fontId="37" fillId="5" borderId="20" xfId="0" applyFont="1" applyFill="1" applyBorder="1" applyAlignment="1">
      <alignment vertical="center"/>
    </xf>
    <xf numFmtId="0" fontId="52" fillId="5" borderId="19" xfId="0" applyFont="1" applyFill="1" applyBorder="1" applyAlignment="1">
      <alignment vertical="center"/>
    </xf>
    <xf numFmtId="0" fontId="37" fillId="5" borderId="20" xfId="4" applyFont="1" applyFill="1" applyBorder="1"/>
    <xf numFmtId="0" fontId="37" fillId="5" borderId="21" xfId="4" applyFont="1" applyFill="1" applyBorder="1"/>
    <xf numFmtId="0" fontId="37" fillId="0" borderId="0" xfId="4" applyFont="1" applyFill="1" applyBorder="1"/>
    <xf numFmtId="0" fontId="53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/>
    <xf numFmtId="0" fontId="5" fillId="0" borderId="18" xfId="0" applyFont="1" applyFill="1" applyBorder="1" applyAlignment="1"/>
    <xf numFmtId="0" fontId="10" fillId="0" borderId="6" xfId="0" applyFont="1" applyFill="1" applyBorder="1" applyAlignment="1"/>
    <xf numFmtId="0" fontId="10" fillId="0" borderId="8" xfId="0" applyFont="1" applyFill="1" applyBorder="1" applyAlignment="1"/>
    <xf numFmtId="0" fontId="5" fillId="0" borderId="58" xfId="0" applyFont="1" applyFill="1" applyBorder="1" applyAlignment="1"/>
    <xf numFmtId="0" fontId="5" fillId="0" borderId="59" xfId="0" applyFont="1" applyFill="1" applyBorder="1" applyAlignment="1"/>
    <xf numFmtId="0" fontId="10" fillId="0" borderId="19" xfId="0" applyFont="1" applyFill="1" applyBorder="1" applyAlignment="1"/>
    <xf numFmtId="0" fontId="10" fillId="0" borderId="21" xfId="0" applyFont="1" applyFill="1" applyBorder="1" applyAlignment="1"/>
    <xf numFmtId="0" fontId="5" fillId="0" borderId="4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66" fontId="6" fillId="13" borderId="1" xfId="1" applyNumberFormat="1" applyFont="1" applyFill="1" applyBorder="1" applyAlignment="1"/>
    <xf numFmtId="166" fontId="6" fillId="13" borderId="60" xfId="1" applyNumberFormat="1" applyFont="1" applyFill="1" applyBorder="1" applyAlignment="1"/>
    <xf numFmtId="166" fontId="6" fillId="13" borderId="61" xfId="1" applyNumberFormat="1" applyFont="1" applyFill="1" applyBorder="1" applyAlignment="1"/>
    <xf numFmtId="166" fontId="6" fillId="13" borderId="23" xfId="1" applyNumberFormat="1" applyFont="1" applyFill="1" applyBorder="1" applyAlignment="1"/>
    <xf numFmtId="0" fontId="5" fillId="0" borderId="22" xfId="0" applyFont="1" applyFill="1" applyBorder="1"/>
    <xf numFmtId="0" fontId="10" fillId="0" borderId="62" xfId="0" applyFont="1" applyBorder="1"/>
    <xf numFmtId="3" fontId="10" fillId="13" borderId="63" xfId="0" applyNumberFormat="1" applyFont="1" applyFill="1" applyBorder="1"/>
    <xf numFmtId="3" fontId="10" fillId="13" borderId="64" xfId="0" applyNumberFormat="1" applyFont="1" applyFill="1" applyBorder="1"/>
    <xf numFmtId="167" fontId="5" fillId="12" borderId="54" xfId="2" applyNumberFormat="1" applyFont="1" applyFill="1" applyBorder="1"/>
    <xf numFmtId="0" fontId="5" fillId="12" borderId="21" xfId="0" applyFont="1" applyFill="1" applyBorder="1" applyAlignment="1">
      <alignment horizontal="right"/>
    </xf>
    <xf numFmtId="166" fontId="5" fillId="0" borderId="1" xfId="1" applyNumberFormat="1" applyFont="1" applyFill="1" applyBorder="1"/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6" fillId="0" borderId="0" xfId="0" applyFont="1" applyFill="1" applyBorder="1"/>
    <xf numFmtId="42" fontId="6" fillId="0" borderId="0" xfId="0" applyNumberFormat="1" applyFont="1" applyFill="1" applyBorder="1" applyAlignment="1">
      <alignment horizontal="right"/>
    </xf>
    <xf numFmtId="42" fontId="5" fillId="12" borderId="16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/>
    <xf numFmtId="0" fontId="31" fillId="0" borderId="28" xfId="0" applyFont="1" applyFill="1" applyBorder="1" applyAlignment="1">
      <alignment horizontal="left" vertical="top" wrapText="1"/>
    </xf>
    <xf numFmtId="0" fontId="6" fillId="0" borderId="0" xfId="0" applyFont="1" applyBorder="1" applyAlignment="1"/>
    <xf numFmtId="165" fontId="6" fillId="0" borderId="0" xfId="0" applyNumberFormat="1" applyFont="1" applyFill="1" applyBorder="1" applyAlignment="1">
      <alignment vertical="top"/>
    </xf>
    <xf numFmtId="165" fontId="6" fillId="0" borderId="0" xfId="0" applyNumberFormat="1" applyFont="1" applyFill="1" applyBorder="1" applyAlignment="1"/>
    <xf numFmtId="42" fontId="31" fillId="0" borderId="0" xfId="0" applyNumberFormat="1" applyFont="1" applyBorder="1" applyAlignment="1">
      <alignment horizontal="left" vertical="top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Border="1"/>
    <xf numFmtId="0" fontId="6" fillId="0" borderId="0" xfId="0" applyFont="1" applyFill="1" applyBorder="1" applyAlignment="1">
      <alignment vertical="top"/>
    </xf>
    <xf numFmtId="42" fontId="7" fillId="0" borderId="0" xfId="0" applyNumberFormat="1" applyFont="1" applyBorder="1" applyAlignment="1">
      <alignment vertical="top"/>
    </xf>
    <xf numFmtId="42" fontId="35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42" fontId="8" fillId="0" borderId="0" xfId="0" applyNumberFormat="1" applyFont="1" applyBorder="1" applyAlignment="1">
      <alignment horizontal="center" vertical="center"/>
    </xf>
    <xf numFmtId="42" fontId="34" fillId="0" borderId="0" xfId="0" applyNumberFormat="1" applyFont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65" fontId="6" fillId="0" borderId="0" xfId="0" applyNumberFormat="1" applyFont="1" applyBorder="1" applyAlignment="1">
      <alignment vertical="top"/>
    </xf>
    <xf numFmtId="165" fontId="31" fillId="0" borderId="0" xfId="0" applyNumberFormat="1" applyFont="1" applyBorder="1" applyAlignment="1">
      <alignment horizontal="left" vertical="top" wrapText="1"/>
    </xf>
    <xf numFmtId="0" fontId="21" fillId="0" borderId="0" xfId="0" applyFont="1" applyBorder="1" applyAlignment="1">
      <alignment horizontal="left" wrapText="1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20" fillId="10" borderId="0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5" fillId="0" borderId="58" xfId="0" applyFont="1" applyFill="1" applyBorder="1" applyAlignment="1">
      <alignment horizontal="left"/>
    </xf>
    <xf numFmtId="0" fontId="5" fillId="0" borderId="59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10" fillId="3" borderId="19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52" fillId="5" borderId="19" xfId="0" applyFont="1" applyFill="1" applyBorder="1" applyAlignment="1">
      <alignment vertical="center" wrapText="1"/>
    </xf>
    <xf numFmtId="0" fontId="52" fillId="5" borderId="21" xfId="0" applyFont="1" applyFill="1" applyBorder="1" applyAlignment="1">
      <alignment vertical="center" wrapText="1"/>
    </xf>
    <xf numFmtId="0" fontId="4" fillId="17" borderId="0" xfId="0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left"/>
    </xf>
    <xf numFmtId="0" fontId="0" fillId="0" borderId="0" xfId="0" applyAlignment="1"/>
    <xf numFmtId="0" fontId="5" fillId="0" borderId="0" xfId="0" applyFont="1" applyFill="1" applyBorder="1" applyAlignment="1">
      <alignment horizontal="center"/>
    </xf>
    <xf numFmtId="0" fontId="8" fillId="7" borderId="44" xfId="4" applyFont="1" applyFill="1" applyBorder="1" applyAlignment="1">
      <alignment horizontal="center" vertical="center"/>
    </xf>
    <xf numFmtId="0" fontId="8" fillId="7" borderId="48" xfId="4" applyFont="1" applyFill="1" applyBorder="1" applyAlignment="1">
      <alignment horizontal="center" vertical="center"/>
    </xf>
    <xf numFmtId="0" fontId="8" fillId="7" borderId="33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20" fillId="10" borderId="0" xfId="0" applyFont="1" applyFill="1" applyBorder="1" applyAlignment="1">
      <alignment horizontal="center" vertical="center"/>
    </xf>
    <xf numFmtId="0" fontId="20" fillId="10" borderId="44" xfId="0" applyFont="1" applyFill="1" applyBorder="1" applyAlignment="1">
      <alignment horizontal="center"/>
    </xf>
    <xf numFmtId="0" fontId="20" fillId="10" borderId="48" xfId="0" applyFont="1" applyFill="1" applyBorder="1" applyAlignment="1">
      <alignment horizontal="center"/>
    </xf>
    <xf numFmtId="0" fontId="20" fillId="10" borderId="33" xfId="0" applyFont="1" applyFill="1" applyBorder="1" applyAlignment="1">
      <alignment horizontal="center"/>
    </xf>
    <xf numFmtId="0" fontId="51" fillId="6" borderId="1" xfId="0" applyFont="1" applyFill="1" applyBorder="1" applyAlignment="1">
      <alignment horizontal="center"/>
    </xf>
    <xf numFmtId="0" fontId="6" fillId="0" borderId="1" xfId="0" applyFont="1" applyBorder="1"/>
    <xf numFmtId="0" fontId="20" fillId="0" borderId="9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10" borderId="30" xfId="0" applyFont="1" applyFill="1" applyBorder="1" applyAlignment="1">
      <alignment horizontal="center"/>
    </xf>
    <xf numFmtId="0" fontId="20" fillId="10" borderId="31" xfId="0" applyFont="1" applyFill="1" applyBorder="1" applyAlignment="1">
      <alignment horizontal="center"/>
    </xf>
    <xf numFmtId="0" fontId="20" fillId="10" borderId="3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6" fillId="0" borderId="0" xfId="0" applyFont="1" applyFill="1" applyBorder="1"/>
  </cellXfs>
  <cellStyles count="5">
    <cellStyle name="Comma" xfId="1" builtinId="3"/>
    <cellStyle name="Currency" xfId="2" builtinId="4"/>
    <cellStyle name="Normal" xfId="0" builtinId="0"/>
    <cellStyle name="Normal 2" xfId="4" xr:uid="{6A91E870-BC25-4341-A75E-7E4271A7CF4A}"/>
    <cellStyle name="Percent" xfId="3" builtinId="5"/>
  </cellStyles>
  <dxfs count="0"/>
  <tableStyles count="0" defaultTableStyle="TableStyleMedium2" defaultPivotStyle="PivotStyleLight16"/>
  <colors>
    <mruColors>
      <color rgb="FFF5C5C3"/>
      <color rgb="FFE2CFF1"/>
      <color rgb="FF419977"/>
      <color rgb="FF388467"/>
      <color rgb="FFF1E8F8"/>
      <color rgb="FFFFCDCD"/>
      <color rgb="FFFFE5E5"/>
      <color rgb="FFFFC9C9"/>
      <color rgb="FFEE9E9A"/>
      <color rgb="FFEA87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825498</xdr:colOff>
      <xdr:row>16</xdr:row>
      <xdr:rowOff>179161</xdr:rowOff>
    </xdr:from>
    <xdr:to>
      <xdr:col>9</xdr:col>
      <xdr:colOff>476249</xdr:colOff>
      <xdr:row>33</xdr:row>
      <xdr:rowOff>47625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18CF0A1E-A12D-D9F8-E9E7-A1DCACA25228}"/>
            </a:ext>
          </a:extLst>
        </xdr:cNvPr>
        <xdr:cNvGrpSpPr/>
      </xdr:nvGrpSpPr>
      <xdr:grpSpPr>
        <a:xfrm>
          <a:off x="5424486" y="4254274"/>
          <a:ext cx="5648326" cy="3672114"/>
          <a:chOff x="6331857" y="4753429"/>
          <a:chExt cx="5008789" cy="2853909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E956B26F-611E-D9E6-8F7D-D56134ECD31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63021" y="4791849"/>
            <a:ext cx="4977625" cy="2815489"/>
          </a:xfrm>
          <a:prstGeom prst="rect">
            <a:avLst/>
          </a:prstGeom>
        </xdr:spPr>
      </xdr:pic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37AA4017-C327-2434-DA14-3798FE694325}"/>
              </a:ext>
            </a:extLst>
          </xdr:cNvPr>
          <xdr:cNvSpPr/>
        </xdr:nvSpPr>
        <xdr:spPr>
          <a:xfrm>
            <a:off x="6331857" y="4753429"/>
            <a:ext cx="1279072" cy="2848428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 editAs="oneCell">
    <xdr:from>
      <xdr:col>2</xdr:col>
      <xdr:colOff>330771</xdr:colOff>
      <xdr:row>8</xdr:row>
      <xdr:rowOff>313802</xdr:rowOff>
    </xdr:from>
    <xdr:to>
      <xdr:col>6</xdr:col>
      <xdr:colOff>31750</xdr:colOff>
      <xdr:row>29</xdr:row>
      <xdr:rowOff>155573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E2AE96D-D818-3C9E-E5AE-D69845DB7A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-1352" b="16434"/>
        <a:stretch/>
      </xdr:blipFill>
      <xdr:spPr>
        <a:xfrm>
          <a:off x="1616646" y="2488677"/>
          <a:ext cx="4971479" cy="5017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285A7-E413-4D6E-86CE-6DA32524C271}">
  <sheetPr>
    <tabColor rgb="FFFF4747"/>
    <pageSetUpPr fitToPage="1"/>
  </sheetPr>
  <dimension ref="B1:T83"/>
  <sheetViews>
    <sheetView tabSelected="1" zoomScale="40" zoomScaleNormal="40" workbookViewId="0">
      <selection activeCell="N26" sqref="N26"/>
    </sheetView>
  </sheetViews>
  <sheetFormatPr defaultColWidth="8.7265625" defaultRowHeight="14" x14ac:dyDescent="0.3"/>
  <cols>
    <col min="1" max="1" width="3.453125" style="1" customWidth="1"/>
    <col min="2" max="2" width="15.08984375" style="1" customWidth="1"/>
    <col min="3" max="3" width="16" style="1" customWidth="1"/>
    <col min="4" max="4" width="31.453125" style="1" customWidth="1"/>
    <col min="5" max="5" width="12.81640625" style="1" customWidth="1"/>
    <col min="6" max="6" width="15.36328125" style="1" customWidth="1"/>
    <col min="7" max="7" width="19.90625" style="1" customWidth="1"/>
    <col min="8" max="8" width="5.81640625" style="1" customWidth="1"/>
    <col min="9" max="9" width="31.90625" style="1" customWidth="1"/>
    <col min="10" max="10" width="19.6328125" style="117" customWidth="1"/>
    <col min="11" max="11" width="2" style="1" customWidth="1"/>
    <col min="12" max="12" width="24.453125" style="1" customWidth="1"/>
    <col min="13" max="13" width="17.6328125" style="1" customWidth="1"/>
    <col min="14" max="14" width="17.1796875" style="1" customWidth="1"/>
    <col min="15" max="15" width="13.54296875" style="1" customWidth="1"/>
    <col min="16" max="16" width="8.7265625" style="1"/>
    <col min="17" max="17" width="58.26953125" style="1" customWidth="1"/>
    <col min="18" max="18" width="34.81640625" style="1" customWidth="1"/>
    <col min="19" max="16384" width="8.7265625" style="1"/>
  </cols>
  <sheetData>
    <row r="1" spans="2:17" s="116" customFormat="1" ht="25.5" customHeight="1" thickBot="1" x14ac:dyDescent="0.45">
      <c r="B1" s="569" t="s">
        <v>232</v>
      </c>
      <c r="C1" s="568"/>
      <c r="D1" s="568"/>
      <c r="E1" s="568"/>
      <c r="F1" s="568"/>
      <c r="G1" s="566"/>
      <c r="H1" s="567"/>
      <c r="I1" s="565"/>
      <c r="K1" s="565"/>
      <c r="L1" s="565"/>
      <c r="M1" s="242" t="s">
        <v>170</v>
      </c>
      <c r="N1" s="240"/>
      <c r="P1" s="246"/>
    </row>
    <row r="2" spans="2:17" ht="18.5" customHeight="1" x14ac:dyDescent="0.3">
      <c r="G2" s="575"/>
      <c r="H2" s="2"/>
      <c r="I2" s="2"/>
      <c r="L2" s="244"/>
      <c r="M2" s="224"/>
      <c r="N2" s="1" t="s">
        <v>168</v>
      </c>
    </row>
    <row r="3" spans="2:17" ht="18.5" customHeight="1" x14ac:dyDescent="0.45">
      <c r="C3" s="219" t="s">
        <v>83</v>
      </c>
      <c r="D3" s="220"/>
      <c r="E3" s="209"/>
      <c r="F3" s="210"/>
      <c r="G3" s="211"/>
      <c r="H3" s="210"/>
      <c r="I3" s="14"/>
      <c r="M3" s="225"/>
      <c r="N3" s="14" t="s">
        <v>169</v>
      </c>
      <c r="P3" s="14"/>
    </row>
    <row r="4" spans="2:17" ht="18.5" customHeight="1" x14ac:dyDescent="0.45">
      <c r="C4" s="185" t="s">
        <v>84</v>
      </c>
      <c r="D4" s="603" t="str">
        <f>'Site Base Data'!C4</f>
        <v>Michigan</v>
      </c>
      <c r="E4" s="101"/>
      <c r="F4" s="24"/>
      <c r="G4" s="151"/>
      <c r="H4" s="24"/>
      <c r="I4" s="14"/>
      <c r="M4" s="232"/>
      <c r="N4" s="14" t="s">
        <v>105</v>
      </c>
      <c r="P4" s="14"/>
    </row>
    <row r="5" spans="2:17" s="2" customFormat="1" ht="18.5" customHeight="1" x14ac:dyDescent="0.3">
      <c r="C5" s="186" t="s">
        <v>85</v>
      </c>
      <c r="D5" s="603" t="str">
        <f>'Site Base Data'!C5</f>
        <v>115th &amp; Michigan</v>
      </c>
      <c r="E5" s="176"/>
      <c r="F5" s="176"/>
      <c r="G5" s="176"/>
      <c r="H5" s="176"/>
      <c r="I5" s="14"/>
      <c r="M5" s="247"/>
      <c r="N5" s="14" t="s">
        <v>171</v>
      </c>
      <c r="P5" s="14"/>
    </row>
    <row r="6" spans="2:17" ht="18.5" customHeight="1" x14ac:dyDescent="0.3">
      <c r="C6" s="186" t="s">
        <v>2</v>
      </c>
      <c r="D6" s="603">
        <f>'Site Base Data'!C6</f>
        <v>1</v>
      </c>
      <c r="E6" s="180"/>
      <c r="F6" s="177"/>
      <c r="G6" s="177"/>
      <c r="M6" s="226"/>
      <c r="N6" s="14" t="s">
        <v>82</v>
      </c>
      <c r="P6" s="14"/>
    </row>
    <row r="7" spans="2:17" ht="18.5" customHeight="1" x14ac:dyDescent="0.3">
      <c r="E7" s="97"/>
      <c r="F7" s="147"/>
      <c r="H7" s="113"/>
      <c r="I7" s="14"/>
      <c r="P7" s="14"/>
      <c r="Q7" s="4"/>
    </row>
    <row r="8" spans="2:17" ht="14.5" thickBot="1" x14ac:dyDescent="0.35">
      <c r="J8" s="170"/>
      <c r="K8" s="2"/>
      <c r="L8" s="2"/>
      <c r="M8" s="2"/>
      <c r="Q8" s="2"/>
    </row>
    <row r="9" spans="2:17" ht="27.5" customHeight="1" thickBot="1" x14ac:dyDescent="0.35">
      <c r="H9" s="650" t="s">
        <v>231</v>
      </c>
      <c r="I9" s="651"/>
      <c r="J9" s="652"/>
      <c r="K9" s="2"/>
      <c r="L9" s="634" t="s">
        <v>157</v>
      </c>
      <c r="M9" s="635"/>
      <c r="N9" s="635"/>
      <c r="O9" s="636"/>
      <c r="Q9" s="2"/>
    </row>
    <row r="10" spans="2:17" ht="17" customHeight="1" thickBot="1" x14ac:dyDescent="0.35">
      <c r="H10" s="606"/>
      <c r="I10" s="607"/>
      <c r="J10" s="392" t="s">
        <v>189</v>
      </c>
      <c r="L10" s="213"/>
      <c r="M10" s="237" t="s">
        <v>133</v>
      </c>
      <c r="N10" s="237" t="s">
        <v>134</v>
      </c>
      <c r="O10" s="238" t="s">
        <v>135</v>
      </c>
    </row>
    <row r="11" spans="2:17" ht="35" customHeight="1" x14ac:dyDescent="0.3">
      <c r="H11" s="578" t="s">
        <v>110</v>
      </c>
      <c r="I11" s="579"/>
      <c r="J11" s="254">
        <f>'Site Base Data'!D9</f>
        <v>112455</v>
      </c>
      <c r="L11" s="258" t="s">
        <v>75</v>
      </c>
      <c r="M11" s="265" t="str">
        <f>'Site Base Data'!E11</f>
        <v>Multi-family,
Retail</v>
      </c>
      <c r="N11" s="265" t="str">
        <f>'Site Base Data'!F11</f>
        <v>Multi-family, 
Retail</v>
      </c>
      <c r="O11" s="266" t="str">
        <f>'Site Base Data'!G11</f>
        <v>Commercial, Grocery</v>
      </c>
    </row>
    <row r="12" spans="2:17" ht="18" customHeight="1" x14ac:dyDescent="0.3">
      <c r="H12" s="576" t="s">
        <v>153</v>
      </c>
      <c r="I12" s="577"/>
      <c r="J12" s="260">
        <f>SUM(M14:O14)</f>
        <v>200</v>
      </c>
      <c r="L12" s="118" t="s">
        <v>100</v>
      </c>
      <c r="M12" s="228">
        <f>'Site Base Data'!E$21</f>
        <v>7</v>
      </c>
      <c r="N12" s="228">
        <f>'Site Base Data'!F$21</f>
        <v>5</v>
      </c>
      <c r="O12" s="229">
        <f>'Site Base Data'!G$21</f>
        <v>1</v>
      </c>
    </row>
    <row r="13" spans="2:17" ht="17" customHeight="1" x14ac:dyDescent="0.3">
      <c r="H13" s="576" t="s">
        <v>76</v>
      </c>
      <c r="I13" s="577"/>
      <c r="J13" s="260">
        <f>SUM(M15:O15)</f>
        <v>79</v>
      </c>
      <c r="L13" s="596" t="s">
        <v>110</v>
      </c>
      <c r="M13" s="230">
        <f>'Site Base Data'!E$9</f>
        <v>36495</v>
      </c>
      <c r="N13" s="230">
        <f>'Site Base Data'!F$9</f>
        <v>29500</v>
      </c>
      <c r="O13" s="231">
        <f>'Site Base Data'!G$9</f>
        <v>46460</v>
      </c>
    </row>
    <row r="14" spans="2:17" ht="17" customHeight="1" x14ac:dyDescent="0.3">
      <c r="H14" s="576" t="s">
        <v>78</v>
      </c>
      <c r="I14" s="577"/>
      <c r="J14" s="260">
        <f>SUM(M16:O16)</f>
        <v>38585</v>
      </c>
      <c r="L14" s="120" t="s">
        <v>153</v>
      </c>
      <c r="M14" s="230">
        <f>'Site Base Data'!E$23</f>
        <v>115</v>
      </c>
      <c r="N14" s="230">
        <f>'Site Base Data'!F$23</f>
        <v>85</v>
      </c>
      <c r="O14" s="231">
        <f>'Site Base Data'!G$23</f>
        <v>0</v>
      </c>
    </row>
    <row r="15" spans="2:17" ht="17" customHeight="1" thickBot="1" x14ac:dyDescent="0.35">
      <c r="H15" s="580" t="s">
        <v>99</v>
      </c>
      <c r="I15" s="581"/>
      <c r="J15" s="261">
        <f>SUM(M17:O17)</f>
        <v>152380</v>
      </c>
      <c r="L15" s="119" t="s">
        <v>76</v>
      </c>
      <c r="M15" s="228">
        <f>'Site Base Data'!E$25</f>
        <v>40</v>
      </c>
      <c r="N15" s="228">
        <f>'Site Base Data'!F$25</f>
        <v>20</v>
      </c>
      <c r="O15" s="229">
        <f>'Site Base Data'!G$25</f>
        <v>19</v>
      </c>
    </row>
    <row r="16" spans="2:17" ht="17" customHeight="1" thickBot="1" x14ac:dyDescent="0.35">
      <c r="H16" s="582" t="s">
        <v>158</v>
      </c>
      <c r="I16" s="583"/>
      <c r="J16" s="439">
        <f>SUM(M18:O18)</f>
        <v>225940</v>
      </c>
      <c r="L16" s="120" t="s">
        <v>78</v>
      </c>
      <c r="M16" s="230">
        <f>'Site Base Data'!E14</f>
        <v>5000</v>
      </c>
      <c r="N16" s="230">
        <f>'Site Base Data'!F14</f>
        <v>13585</v>
      </c>
      <c r="O16" s="231">
        <f>'Site Base Data'!G14</f>
        <v>20000</v>
      </c>
    </row>
    <row r="17" spans="8:15" ht="17" customHeight="1" x14ac:dyDescent="0.3">
      <c r="L17" s="119" t="s">
        <v>99</v>
      </c>
      <c r="M17" s="228">
        <f>SUM('Site Base Data'!E17*'Site Base Data'!E18)+('Site Base Data'!E19*'Site Base Data'!E20)</f>
        <v>79880</v>
      </c>
      <c r="N17" s="228">
        <f>'Site Base Data'!F17*'Site Base Data'!F18</f>
        <v>72500</v>
      </c>
      <c r="O17" s="229">
        <f>'Site Base Data'!G16</f>
        <v>0</v>
      </c>
    </row>
    <row r="18" spans="8:15" ht="17" customHeight="1" thickBot="1" x14ac:dyDescent="0.35">
      <c r="L18" s="597" t="s">
        <v>86</v>
      </c>
      <c r="M18" s="598">
        <f>'Site Base Data'!E22</f>
        <v>107235</v>
      </c>
      <c r="N18" s="598">
        <f>'Site Base Data'!F22</f>
        <v>98630</v>
      </c>
      <c r="O18" s="599">
        <f>'Site Base Data'!G22</f>
        <v>20075</v>
      </c>
    </row>
    <row r="19" spans="8:15" ht="17" customHeight="1" x14ac:dyDescent="0.3">
      <c r="H19" s="253"/>
      <c r="I19" s="253"/>
      <c r="J19" s="440"/>
      <c r="O19" s="441"/>
    </row>
    <row r="20" spans="8:15" ht="17" customHeight="1" x14ac:dyDescent="0.3">
      <c r="H20" s="253"/>
      <c r="I20" s="253"/>
      <c r="J20" s="440"/>
      <c r="O20" s="441"/>
    </row>
    <row r="21" spans="8:15" ht="17" customHeight="1" x14ac:dyDescent="0.3">
      <c r="H21" s="253"/>
      <c r="I21" s="253"/>
      <c r="J21" s="440"/>
      <c r="O21" s="441"/>
    </row>
    <row r="22" spans="8:15" ht="17" customHeight="1" thickBot="1" x14ac:dyDescent="0.35">
      <c r="H22" s="253"/>
      <c r="I22" s="253"/>
      <c r="J22" s="440"/>
      <c r="O22" s="429"/>
    </row>
    <row r="23" spans="8:15" ht="17" customHeight="1" thickBot="1" x14ac:dyDescent="0.35">
      <c r="H23" s="253"/>
      <c r="I23" s="253"/>
      <c r="J23" s="440"/>
      <c r="L23" s="641" t="s">
        <v>162</v>
      </c>
      <c r="M23" s="642"/>
      <c r="N23" s="643"/>
      <c r="O23" s="441"/>
    </row>
    <row r="24" spans="8:15" ht="30" customHeight="1" thickBot="1" x14ac:dyDescent="0.35">
      <c r="H24" s="253"/>
      <c r="I24" s="253"/>
      <c r="J24" s="440"/>
      <c r="L24" s="584"/>
      <c r="M24" s="585"/>
      <c r="N24" s="564" t="s">
        <v>203</v>
      </c>
      <c r="O24" s="441"/>
    </row>
    <row r="25" spans="8:15" ht="17" customHeight="1" thickBot="1" x14ac:dyDescent="0.35">
      <c r="H25" s="253"/>
      <c r="I25" s="253"/>
      <c r="J25" s="440"/>
      <c r="L25" s="644" t="s">
        <v>155</v>
      </c>
      <c r="M25" s="645"/>
      <c r="N25" s="601" t="str">
        <f>'Sources Uses'!I13</f>
        <v>TBD</v>
      </c>
      <c r="O25" s="441"/>
    </row>
    <row r="26" spans="8:15" ht="17" customHeight="1" x14ac:dyDescent="0.3">
      <c r="H26" s="253"/>
      <c r="I26" s="253"/>
      <c r="J26" s="440"/>
      <c r="L26" s="648" t="s">
        <v>154</v>
      </c>
      <c r="M26" s="649"/>
      <c r="N26" s="610" t="str">
        <f>'Sources Uses'!I17</f>
        <v>TBD</v>
      </c>
      <c r="O26" s="441"/>
    </row>
    <row r="27" spans="8:15" ht="17" customHeight="1" x14ac:dyDescent="0.3">
      <c r="H27" s="253"/>
      <c r="I27" s="253"/>
      <c r="J27" s="440"/>
      <c r="L27" s="587" t="s">
        <v>156</v>
      </c>
      <c r="M27" s="588"/>
      <c r="N27" s="442">
        <f>SUM('Sources Uses'!I18)</f>
        <v>75000</v>
      </c>
      <c r="O27" s="441"/>
    </row>
    <row r="28" spans="8:15" ht="17" customHeight="1" x14ac:dyDescent="0.3">
      <c r="H28" s="253"/>
      <c r="I28" s="253"/>
      <c r="J28" s="440"/>
      <c r="L28" s="589" t="s">
        <v>236</v>
      </c>
      <c r="M28" s="590"/>
      <c r="N28" s="442">
        <f>'Sources Uses'!I23+'Sources Uses'!I24+'Sources Uses'!I22+'Sources Uses'!I19</f>
        <v>555575</v>
      </c>
      <c r="O28" s="441"/>
    </row>
    <row r="29" spans="8:15" ht="17" customHeight="1" x14ac:dyDescent="0.3">
      <c r="H29" s="253"/>
      <c r="I29" s="253"/>
      <c r="J29" s="440"/>
      <c r="L29" s="587" t="s">
        <v>201</v>
      </c>
      <c r="M29" s="588"/>
      <c r="N29" s="442">
        <f>SUM('Sources Uses'!I21)</f>
        <v>1686825</v>
      </c>
      <c r="O29" s="441"/>
    </row>
    <row r="30" spans="8:15" ht="17" customHeight="1" thickBot="1" x14ac:dyDescent="0.35">
      <c r="H30" s="253"/>
      <c r="I30" s="253"/>
      <c r="J30" s="440"/>
      <c r="L30" s="646" t="s">
        <v>167</v>
      </c>
      <c r="M30" s="647"/>
      <c r="N30" s="600">
        <f>'Sources Uses'!I35</f>
        <v>540000</v>
      </c>
      <c r="O30" s="441"/>
    </row>
    <row r="31" spans="8:15" ht="17" customHeight="1" thickBot="1" x14ac:dyDescent="0.35">
      <c r="H31" s="253"/>
      <c r="I31" s="253"/>
      <c r="J31" s="440"/>
      <c r="L31" s="644" t="s">
        <v>200</v>
      </c>
      <c r="M31" s="645"/>
      <c r="N31" s="268">
        <f>'Sources Uses'!I45</f>
        <v>828900</v>
      </c>
      <c r="O31" s="441"/>
    </row>
    <row r="32" spans="8:15" ht="17" customHeight="1" thickBot="1" x14ac:dyDescent="0.35">
      <c r="H32" s="253"/>
      <c r="I32" s="253"/>
      <c r="J32" s="440"/>
      <c r="L32" s="269" t="s">
        <v>159</v>
      </c>
      <c r="M32" s="443"/>
      <c r="N32" s="267">
        <f>'Sources Uses'!I47</f>
        <v>3686300</v>
      </c>
      <c r="O32" s="441"/>
    </row>
    <row r="33" spans="3:15" ht="17" customHeight="1" x14ac:dyDescent="0.3">
      <c r="H33" s="253"/>
      <c r="I33" s="253"/>
      <c r="J33" s="440"/>
      <c r="L33" s="12"/>
      <c r="M33" s="441"/>
      <c r="N33" s="441"/>
      <c r="O33" s="441"/>
    </row>
    <row r="34" spans="3:15" ht="17" customHeight="1" x14ac:dyDescent="0.3"/>
    <row r="35" spans="3:15" ht="17" customHeight="1" thickBot="1" x14ac:dyDescent="0.35">
      <c r="D35" s="640" t="s">
        <v>233</v>
      </c>
      <c r="E35" s="640"/>
      <c r="F35" s="640"/>
      <c r="G35" s="208"/>
    </row>
    <row r="36" spans="3:15" ht="17" customHeight="1" thickBot="1" x14ac:dyDescent="0.35">
      <c r="C36" s="113"/>
      <c r="D36" s="637" t="s">
        <v>161</v>
      </c>
      <c r="E36" s="638"/>
      <c r="F36" s="638"/>
      <c r="G36" s="639"/>
      <c r="H36" s="113"/>
      <c r="I36" s="637" t="s">
        <v>179</v>
      </c>
      <c r="J36" s="639"/>
      <c r="K36" s="113"/>
      <c r="L36" s="637" t="s">
        <v>89</v>
      </c>
      <c r="M36" s="638"/>
      <c r="N36" s="639"/>
      <c r="O36" s="387" t="s">
        <v>208</v>
      </c>
    </row>
    <row r="37" spans="3:15" ht="17" customHeight="1" thickBot="1" x14ac:dyDescent="0.35">
      <c r="C37" s="2"/>
      <c r="D37" s="121"/>
      <c r="E37" s="122"/>
      <c r="F37" s="122"/>
      <c r="G37" s="123"/>
      <c r="H37" s="2"/>
      <c r="I37" s="124"/>
      <c r="J37" s="125"/>
      <c r="K37" s="2"/>
      <c r="L37" s="124"/>
      <c r="M37" s="126" t="s">
        <v>27</v>
      </c>
      <c r="N37" s="127" t="s">
        <v>36</v>
      </c>
      <c r="O37" s="392" t="s">
        <v>29</v>
      </c>
    </row>
    <row r="38" spans="3:15" ht="17" customHeight="1" x14ac:dyDescent="0.3">
      <c r="C38" s="2"/>
      <c r="D38" s="118"/>
      <c r="E38" s="128" t="s">
        <v>0</v>
      </c>
      <c r="F38" s="128" t="s">
        <v>1</v>
      </c>
      <c r="G38" s="129" t="s">
        <v>39</v>
      </c>
      <c r="H38" s="2"/>
      <c r="I38" s="118" t="s">
        <v>87</v>
      </c>
      <c r="J38" s="393">
        <f>ROUND('Pro-Forma'!G28, -2)</f>
        <v>7640500</v>
      </c>
      <c r="L38" s="118" t="s">
        <v>90</v>
      </c>
      <c r="M38" s="395">
        <f>'Pro-Forma'!$G16</f>
        <v>1188056.520650907</v>
      </c>
      <c r="N38" s="396">
        <f>'Pro-Forma'!Y16</f>
        <v>1743325.7394462693</v>
      </c>
      <c r="O38" s="397">
        <f>'Pro-Forma'!K16</f>
        <v>1305774.4158785474</v>
      </c>
    </row>
    <row r="39" spans="3:15" ht="17" customHeight="1" x14ac:dyDescent="0.3">
      <c r="D39" s="118" t="s">
        <v>101</v>
      </c>
      <c r="E39" s="216">
        <f>'Sources Uses'!O20</f>
        <v>107235</v>
      </c>
      <c r="F39" s="217">
        <f>'Sources Uses'!$M$20</f>
        <v>400</v>
      </c>
      <c r="G39" s="214">
        <f>'Sources Uses'!Q20</f>
        <v>42894000</v>
      </c>
      <c r="I39" s="119" t="s">
        <v>105</v>
      </c>
      <c r="J39" s="393">
        <f>ROUND('Pro-Forma'!G29, -2)</f>
        <v>4775300</v>
      </c>
      <c r="L39" s="119" t="s">
        <v>91</v>
      </c>
      <c r="M39" s="395">
        <f>'Pro-Forma'!G22</f>
        <v>-910839.52</v>
      </c>
      <c r="N39" s="396">
        <f>'Pro-Forma'!Y22</f>
        <v>-1188438.9804679011</v>
      </c>
      <c r="O39" s="396">
        <f>'Pro-Forma'!K22</f>
        <v>-966309.64676799998</v>
      </c>
    </row>
    <row r="40" spans="3:15" ht="17" customHeight="1" x14ac:dyDescent="0.3">
      <c r="D40" s="119" t="s">
        <v>165</v>
      </c>
      <c r="E40" s="216">
        <f>'Sources Uses'!O21</f>
        <v>9140</v>
      </c>
      <c r="F40" s="217">
        <f>'Sources Uses'!$M$21</f>
        <v>25</v>
      </c>
      <c r="G40" s="214">
        <f>'Sources Uses'!Q21</f>
        <v>228500</v>
      </c>
      <c r="I40" s="119" t="s">
        <v>88</v>
      </c>
      <c r="J40" s="393">
        <f>ROUND('Pro-Forma'!G30, -2)</f>
        <v>51255200</v>
      </c>
      <c r="L40" s="132" t="s">
        <v>98</v>
      </c>
      <c r="M40" s="398">
        <f>'Pro-Forma'!G24</f>
        <v>277217.00065090694</v>
      </c>
      <c r="N40" s="399">
        <f>'Pro-Forma'!Y24</f>
        <v>554886.75897836825</v>
      </c>
      <c r="O40" s="399">
        <f>'Pro-Forma'!K24</f>
        <v>339464.76911054738</v>
      </c>
    </row>
    <row r="41" spans="3:15" ht="17" customHeight="1" thickBot="1" x14ac:dyDescent="0.35">
      <c r="D41" s="119" t="s">
        <v>237</v>
      </c>
      <c r="E41" s="602"/>
      <c r="F41" s="130"/>
      <c r="G41" s="214">
        <f>'Sources Uses'!Q18+'Sources Uses'!Q19</f>
        <v>90000</v>
      </c>
      <c r="I41" s="134" t="s">
        <v>4</v>
      </c>
      <c r="J41" s="394">
        <f>'Pro-Forma'!G27</f>
        <v>63671100</v>
      </c>
      <c r="L41" s="119"/>
      <c r="M41" s="400"/>
      <c r="N41" s="401"/>
      <c r="O41" s="401"/>
    </row>
    <row r="42" spans="3:15" ht="17" customHeight="1" x14ac:dyDescent="0.3">
      <c r="D42" s="119" t="s">
        <v>166</v>
      </c>
      <c r="E42" s="131"/>
      <c r="F42" s="130"/>
      <c r="G42" s="214">
        <f>'Sources Uses'!Q22+'Sources Uses'!Q23+'Sources Uses'!Q24</f>
        <v>535600</v>
      </c>
      <c r="I42" s="4"/>
      <c r="J42" s="383"/>
      <c r="L42" s="118" t="s">
        <v>92</v>
      </c>
      <c r="M42" s="402">
        <f>'Pro-Forma'!G32</f>
        <v>325400</v>
      </c>
      <c r="N42" s="396">
        <f>'Pro-Forma'!Y32</f>
        <v>325400</v>
      </c>
      <c r="O42" s="396">
        <f>'Pro-Forma'!K32</f>
        <v>325400</v>
      </c>
    </row>
    <row r="43" spans="3:15" ht="17" customHeight="1" x14ac:dyDescent="0.3">
      <c r="D43" s="119" t="s">
        <v>167</v>
      </c>
      <c r="E43" s="3"/>
      <c r="F43" s="133"/>
      <c r="G43" s="214">
        <f>'Sources Uses'!Q35</f>
        <v>10193300</v>
      </c>
      <c r="H43" s="4"/>
      <c r="I43" s="586"/>
      <c r="J43" s="586"/>
      <c r="L43" s="118" t="s">
        <v>93</v>
      </c>
      <c r="M43" s="432">
        <f>'Pro-Forma'!G33</f>
        <v>-48182.999349093065</v>
      </c>
      <c r="N43" s="433">
        <f>'Pro-Forma'!Y33</f>
        <v>229486.75897836825</v>
      </c>
      <c r="O43" s="433">
        <f>'Pro-Forma'!K33</f>
        <v>14064.769110547379</v>
      </c>
    </row>
    <row r="44" spans="3:15" ht="17" customHeight="1" x14ac:dyDescent="0.3">
      <c r="D44" s="119" t="s">
        <v>163</v>
      </c>
      <c r="E44" s="135"/>
      <c r="F44" s="136"/>
      <c r="G44" s="215">
        <f>'Sources Uses'!Q36</f>
        <v>53941400</v>
      </c>
      <c r="H44" s="4"/>
      <c r="I44" s="591"/>
      <c r="J44" s="144"/>
      <c r="L44" s="138" t="s">
        <v>94</v>
      </c>
      <c r="M44" s="404">
        <f>'Pro-Forma'!G34</f>
        <v>0.85192686125048234</v>
      </c>
      <c r="N44" s="405">
        <f>'Pro-Forma'!Y34</f>
        <v>1.7052451105665896</v>
      </c>
      <c r="O44" s="405">
        <f>'Pro-Forma'!K34</f>
        <v>1.0432230150908033</v>
      </c>
    </row>
    <row r="45" spans="3:15" ht="17" customHeight="1" x14ac:dyDescent="0.3">
      <c r="D45" s="119"/>
      <c r="E45" s="135"/>
      <c r="F45" s="136"/>
      <c r="G45" s="137"/>
      <c r="H45" s="4"/>
      <c r="I45" s="4"/>
      <c r="K45" s="2"/>
      <c r="L45" s="138"/>
      <c r="M45" s="406"/>
      <c r="N45" s="407"/>
      <c r="O45" s="407"/>
    </row>
    <row r="46" spans="3:15" ht="17" customHeight="1" x14ac:dyDescent="0.3">
      <c r="C46" s="2"/>
      <c r="D46" s="119" t="s">
        <v>164</v>
      </c>
      <c r="E46" s="135"/>
      <c r="F46" s="136"/>
      <c r="G46" s="215">
        <f>'Sources Uses'!Q45</f>
        <v>9729700</v>
      </c>
      <c r="H46" s="4"/>
      <c r="I46" s="4"/>
      <c r="J46" s="144"/>
      <c r="K46" s="2"/>
      <c r="L46" s="138" t="s">
        <v>95</v>
      </c>
      <c r="M46" s="408">
        <f>'Pro-Forma'!G35</f>
        <v>-6.3062361821262011E-3</v>
      </c>
      <c r="N46" s="409">
        <f>'Pro-Forma'!Y35</f>
        <v>3.0035442424476234E-2</v>
      </c>
      <c r="O46" s="409">
        <f>'Pro-Forma'!K35</f>
        <v>1.840810183184545E-3</v>
      </c>
    </row>
    <row r="47" spans="3:15" ht="17" customHeight="1" thickBot="1" x14ac:dyDescent="0.35">
      <c r="D47" s="119"/>
      <c r="E47" s="135"/>
      <c r="F47" s="136"/>
      <c r="G47" s="137"/>
      <c r="H47" s="4"/>
      <c r="I47" s="4"/>
      <c r="J47" s="383"/>
      <c r="L47" s="141" t="s">
        <v>96</v>
      </c>
      <c r="M47" s="410">
        <f>'Pro-Forma'!G37</f>
        <v>-7.5674834185514414E-4</v>
      </c>
      <c r="N47" s="411">
        <f>'Pro-Forma'!Y37</f>
        <v>3.604253090937148E-3</v>
      </c>
      <c r="O47" s="411">
        <f>'Pro-Forma'!K37</f>
        <v>2.208972219821454E-4</v>
      </c>
    </row>
    <row r="48" spans="3:15" ht="17" customHeight="1" thickBot="1" x14ac:dyDescent="0.35">
      <c r="D48" s="134" t="s">
        <v>104</v>
      </c>
      <c r="E48" s="139"/>
      <c r="F48" s="140"/>
      <c r="G48" s="218">
        <f>'Sources Uses'!Q47</f>
        <v>63671100</v>
      </c>
      <c r="H48" s="4"/>
    </row>
    <row r="49" spans="4:15" ht="17" customHeight="1" x14ac:dyDescent="0.3">
      <c r="I49" s="3"/>
      <c r="J49" s="15"/>
    </row>
    <row r="50" spans="4:15" ht="17" customHeight="1" x14ac:dyDescent="0.3"/>
    <row r="51" spans="4:15" ht="17" customHeight="1" thickBot="1" x14ac:dyDescent="0.35">
      <c r="D51" s="640" t="s">
        <v>234</v>
      </c>
      <c r="E51" s="640"/>
      <c r="F51" s="640"/>
      <c r="G51" s="208"/>
    </row>
    <row r="52" spans="4:15" ht="17" customHeight="1" thickBot="1" x14ac:dyDescent="0.35">
      <c r="D52" s="637" t="s">
        <v>161</v>
      </c>
      <c r="E52" s="638"/>
      <c r="F52" s="638"/>
      <c r="G52" s="639"/>
      <c r="H52" s="113"/>
      <c r="I52" s="637" t="s">
        <v>179</v>
      </c>
      <c r="J52" s="639"/>
      <c r="K52" s="113"/>
      <c r="L52" s="637" t="s">
        <v>89</v>
      </c>
      <c r="M52" s="638"/>
      <c r="N52" s="638"/>
      <c r="O52" s="387" t="s">
        <v>208</v>
      </c>
    </row>
    <row r="53" spans="4:15" ht="17" customHeight="1" thickBot="1" x14ac:dyDescent="0.35">
      <c r="D53" s="121"/>
      <c r="E53" s="122"/>
      <c r="F53" s="122"/>
      <c r="G53" s="123"/>
      <c r="H53" s="2"/>
      <c r="I53" s="124"/>
      <c r="J53" s="125"/>
      <c r="K53" s="2"/>
      <c r="L53" s="124"/>
      <c r="M53" s="126" t="s">
        <v>27</v>
      </c>
      <c r="N53" s="126" t="s">
        <v>36</v>
      </c>
      <c r="O53" s="392" t="s">
        <v>29</v>
      </c>
    </row>
    <row r="54" spans="4:15" ht="17" customHeight="1" x14ac:dyDescent="0.3">
      <c r="D54" s="118"/>
      <c r="E54" s="128" t="s">
        <v>0</v>
      </c>
      <c r="F54" s="128" t="s">
        <v>1</v>
      </c>
      <c r="G54" s="129" t="s">
        <v>39</v>
      </c>
      <c r="H54" s="2"/>
      <c r="I54" s="118" t="s">
        <v>87</v>
      </c>
      <c r="J54" s="393">
        <f>ROUND('Pro-Forma'!G59, -2)</f>
        <v>8786900</v>
      </c>
      <c r="L54" s="118" t="s">
        <v>90</v>
      </c>
      <c r="M54" s="395">
        <f>'Pro-Forma'!G47</f>
        <v>1288489.6489049986</v>
      </c>
      <c r="N54" s="412">
        <f>'Pro-Forma'!Y47</f>
        <v>1878488.9926010512</v>
      </c>
      <c r="O54" s="413">
        <f>'Pro-Forma'!K47</f>
        <v>1413291.6189233132</v>
      </c>
    </row>
    <row r="55" spans="4:15" ht="17" customHeight="1" x14ac:dyDescent="0.3">
      <c r="D55" s="118" t="s">
        <v>101</v>
      </c>
      <c r="E55" s="216">
        <f>'Sources Uses'!W$20</f>
        <v>98630</v>
      </c>
      <c r="F55" s="217">
        <f>'Sources Uses'!$U20</f>
        <v>400</v>
      </c>
      <c r="G55" s="214">
        <f>'Sources Uses'!Y$20</f>
        <v>39452000</v>
      </c>
      <c r="I55" s="119" t="s">
        <v>105</v>
      </c>
      <c r="J55" s="393">
        <f>ROUND('Pro-Forma'!G60, -2)</f>
        <v>7029500</v>
      </c>
      <c r="L55" s="119" t="s">
        <v>91</v>
      </c>
      <c r="M55" s="395">
        <f>'Pro-Forma'!G$53</f>
        <v>-860085.9</v>
      </c>
      <c r="N55" s="412">
        <f>'Pro-Forma'!Y$53</f>
        <v>-1122217.0181096415</v>
      </c>
      <c r="O55" s="414">
        <f>'Pro-Forma'!K$53</f>
        <v>-912465.13131000008</v>
      </c>
    </row>
    <row r="56" spans="4:15" ht="17" customHeight="1" x14ac:dyDescent="0.3">
      <c r="D56" s="119" t="s">
        <v>165</v>
      </c>
      <c r="E56" s="216">
        <f>'Sources Uses'!W$21</f>
        <v>3370</v>
      </c>
      <c r="F56" s="217">
        <f>'Sources Uses'!$U21</f>
        <v>25</v>
      </c>
      <c r="G56" s="214">
        <f>'Sources Uses'!Y$21</f>
        <v>84250</v>
      </c>
      <c r="I56" s="119" t="s">
        <v>88</v>
      </c>
      <c r="J56" s="393">
        <f>ROUND('Pro-Forma'!G61, -2)</f>
        <v>42763000</v>
      </c>
      <c r="L56" s="132" t="s">
        <v>98</v>
      </c>
      <c r="M56" s="398">
        <f>'Pro-Forma'!G$55</f>
        <v>428403.74890499853</v>
      </c>
      <c r="N56" s="415">
        <f>'Pro-Forma'!Y$55</f>
        <v>756271.97449140972</v>
      </c>
      <c r="O56" s="416">
        <f>'Pro-Forma'!K$55</f>
        <v>500826.48761331313</v>
      </c>
    </row>
    <row r="57" spans="4:15" ht="17" customHeight="1" thickBot="1" x14ac:dyDescent="0.35">
      <c r="D57" s="119" t="s">
        <v>237</v>
      </c>
      <c r="E57" s="602"/>
      <c r="F57" s="130"/>
      <c r="G57" s="214">
        <f>'Sources Uses'!Y18+'Sources Uses'!Y19</f>
        <v>90000</v>
      </c>
      <c r="I57" s="134" t="s">
        <v>4</v>
      </c>
      <c r="J57" s="394">
        <f>SUM(J54:J56)</f>
        <v>58579400</v>
      </c>
      <c r="L57" s="119"/>
      <c r="M57" s="400"/>
      <c r="N57" s="417"/>
      <c r="O57" s="418"/>
    </row>
    <row r="58" spans="4:15" ht="17" customHeight="1" x14ac:dyDescent="0.3">
      <c r="D58" s="119" t="s">
        <v>166</v>
      </c>
      <c r="E58" s="131"/>
      <c r="F58" s="130"/>
      <c r="G58" s="214">
        <f>'Sources Uses'!Y$22+'Sources Uses'!Y$23+'Sources Uses'!Y$24</f>
        <v>622225</v>
      </c>
      <c r="L58" s="118" t="s">
        <v>92</v>
      </c>
      <c r="M58" s="402">
        <f>'Pro-Forma'!G$63</f>
        <v>479000</v>
      </c>
      <c r="N58" s="419">
        <f>'Pro-Forma'!Y$63</f>
        <v>479000</v>
      </c>
      <c r="O58" s="420">
        <f>'Pro-Forma'!K$63</f>
        <v>479000</v>
      </c>
    </row>
    <row r="59" spans="4:15" ht="17" customHeight="1" x14ac:dyDescent="0.3">
      <c r="D59" s="119" t="s">
        <v>167</v>
      </c>
      <c r="E59" s="3"/>
      <c r="F59" s="133"/>
      <c r="G59" s="214">
        <f>'Sources Uses'!Y35</f>
        <v>9377900</v>
      </c>
      <c r="I59" s="586"/>
      <c r="J59" s="586"/>
      <c r="L59" s="118" t="s">
        <v>93</v>
      </c>
      <c r="M59" s="395">
        <f>'Pro-Forma'!G64</f>
        <v>-50596.251095001469</v>
      </c>
      <c r="N59" s="412">
        <f>'Pro-Forma'!Y64</f>
        <v>277271.97449140972</v>
      </c>
      <c r="O59" s="414">
        <f>'Pro-Forma'!K64</f>
        <v>21826.487613313133</v>
      </c>
    </row>
    <row r="60" spans="4:15" ht="17" customHeight="1" x14ac:dyDescent="0.3">
      <c r="D60" s="119" t="s">
        <v>163</v>
      </c>
      <c r="E60" s="135"/>
      <c r="F60" s="136"/>
      <c r="G60" s="215">
        <f>'Sources Uses'!Y36</f>
        <v>49626400</v>
      </c>
      <c r="I60" s="591"/>
      <c r="J60" s="384"/>
      <c r="L60" s="138" t="s">
        <v>94</v>
      </c>
      <c r="M60" s="404">
        <f>'Pro-Forma'!G$65</f>
        <v>0.89437108330897397</v>
      </c>
      <c r="N60" s="421">
        <f>'Pro-Forma'!Y$65</f>
        <v>1.5788558966417741</v>
      </c>
      <c r="O60" s="422">
        <f>'Pro-Forma'!K$65</f>
        <v>1.04556677998604</v>
      </c>
    </row>
    <row r="61" spans="4:15" ht="17" customHeight="1" x14ac:dyDescent="0.3">
      <c r="D61" s="119"/>
      <c r="E61" s="135"/>
      <c r="F61" s="136"/>
      <c r="G61" s="137"/>
      <c r="I61" s="4"/>
      <c r="J61" s="144"/>
      <c r="K61" s="2"/>
      <c r="L61" s="138"/>
      <c r="M61" s="406"/>
      <c r="N61" s="423"/>
      <c r="O61" s="424"/>
    </row>
    <row r="62" spans="4:15" ht="17" customHeight="1" x14ac:dyDescent="0.3">
      <c r="D62" s="119" t="s">
        <v>164</v>
      </c>
      <c r="E62" s="135"/>
      <c r="F62" s="136"/>
      <c r="G62" s="215">
        <f>'Sources Uses'!Y$45</f>
        <v>8953000</v>
      </c>
      <c r="H62" s="2"/>
      <c r="I62" s="4"/>
      <c r="J62" s="144"/>
      <c r="K62" s="2"/>
      <c r="L62" s="138" t="s">
        <v>95</v>
      </c>
      <c r="M62" s="408">
        <f>'Pro-Forma'!G$66</f>
        <v>-6.6220848358467012E-3</v>
      </c>
      <c r="N62" s="425">
        <f>'Pro-Forma'!Y$66</f>
        <v>3.628961628475736E-2</v>
      </c>
      <c r="O62" s="426">
        <f>'Pro-Forma'!K$66</f>
        <v>2.8566711864191044E-3</v>
      </c>
    </row>
    <row r="63" spans="4:15" ht="17" customHeight="1" thickBot="1" x14ac:dyDescent="0.35">
      <c r="D63" s="119"/>
      <c r="E63" s="135"/>
      <c r="F63" s="136"/>
      <c r="G63" s="137"/>
      <c r="H63" s="2"/>
      <c r="L63" s="141" t="s">
        <v>96</v>
      </c>
      <c r="M63" s="410">
        <f>'Pro-Forma'!G$68</f>
        <v>-7.946501803016042E-4</v>
      </c>
      <c r="N63" s="427">
        <f>'Pro-Forma'!Y$68</f>
        <v>4.3547539541708832E-3</v>
      </c>
      <c r="O63" s="428">
        <f>'Pro-Forma'!K$68</f>
        <v>3.4280054237029254E-4</v>
      </c>
    </row>
    <row r="64" spans="4:15" ht="17" customHeight="1" thickBot="1" x14ac:dyDescent="0.35">
      <c r="D64" s="134" t="s">
        <v>104</v>
      </c>
      <c r="E64" s="139"/>
      <c r="F64" s="140"/>
      <c r="G64" s="218">
        <f>'Sources Uses'!Y$47</f>
        <v>58579400</v>
      </c>
    </row>
    <row r="65" spans="4:20" ht="17" customHeight="1" x14ac:dyDescent="0.3">
      <c r="D65" s="12"/>
      <c r="E65" s="142"/>
      <c r="F65" s="143"/>
      <c r="G65" s="143"/>
      <c r="I65" s="3"/>
      <c r="J65" s="144"/>
      <c r="L65" s="145"/>
      <c r="M65" s="146"/>
      <c r="N65" s="146"/>
    </row>
    <row r="66" spans="4:20" ht="17" customHeight="1" x14ac:dyDescent="0.3">
      <c r="D66" s="12"/>
      <c r="E66" s="142"/>
      <c r="F66" s="143"/>
      <c r="G66" s="143"/>
      <c r="I66" s="3"/>
      <c r="J66" s="144"/>
      <c r="L66" s="145"/>
      <c r="M66" s="146"/>
      <c r="N66" s="146"/>
    </row>
    <row r="67" spans="4:20" ht="17" customHeight="1" thickBot="1" x14ac:dyDescent="0.35">
      <c r="D67" s="640" t="s">
        <v>235</v>
      </c>
      <c r="E67" s="640"/>
      <c r="F67" s="640"/>
      <c r="G67" s="208"/>
    </row>
    <row r="68" spans="4:20" ht="17" customHeight="1" x14ac:dyDescent="0.3">
      <c r="D68" s="637" t="s">
        <v>161</v>
      </c>
      <c r="E68" s="638"/>
      <c r="F68" s="638"/>
      <c r="G68" s="639"/>
      <c r="H68" s="113"/>
      <c r="I68" s="637" t="s">
        <v>179</v>
      </c>
      <c r="J68" s="639"/>
      <c r="K68" s="113"/>
      <c r="L68" s="637" t="s">
        <v>89</v>
      </c>
      <c r="M68" s="638"/>
      <c r="N68" s="638"/>
      <c r="O68" s="390" t="s">
        <v>208</v>
      </c>
      <c r="Q68" s="2"/>
      <c r="R68" s="2"/>
      <c r="S68" s="2"/>
      <c r="T68" s="2"/>
    </row>
    <row r="69" spans="4:20" ht="17" customHeight="1" thickBot="1" x14ac:dyDescent="0.35">
      <c r="D69" s="121"/>
      <c r="E69" s="122"/>
      <c r="F69" s="122"/>
      <c r="G69" s="123"/>
      <c r="H69" s="2"/>
      <c r="I69" s="124"/>
      <c r="J69" s="125"/>
      <c r="K69" s="2"/>
      <c r="L69" s="124"/>
      <c r="M69" s="126" t="s">
        <v>27</v>
      </c>
      <c r="N69" s="126" t="s">
        <v>36</v>
      </c>
      <c r="O69" s="391" t="s">
        <v>29</v>
      </c>
      <c r="Q69" s="2"/>
      <c r="R69" s="2"/>
      <c r="S69" s="2"/>
      <c r="T69" s="2"/>
    </row>
    <row r="70" spans="4:20" ht="17" customHeight="1" x14ac:dyDescent="0.3">
      <c r="D70" s="118"/>
      <c r="E70" s="128" t="s">
        <v>0</v>
      </c>
      <c r="F70" s="128" t="s">
        <v>1</v>
      </c>
      <c r="G70" s="129" t="s">
        <v>39</v>
      </c>
      <c r="H70" s="2"/>
      <c r="I70" s="118" t="s">
        <v>87</v>
      </c>
      <c r="J70" s="393">
        <f>ROUND('Pro-Forma'!G90, -2)</f>
        <v>2126700</v>
      </c>
      <c r="L70" s="118" t="s">
        <v>90</v>
      </c>
      <c r="M70" s="395">
        <f>'Pro-Forma'!G78</f>
        <v>521831.25</v>
      </c>
      <c r="N70" s="396">
        <f>'Pro-Forma'!Y78</f>
        <v>729437.13321962859</v>
      </c>
      <c r="O70" s="397">
        <f>'Pro-Forma'!K78</f>
        <v>565015.573125</v>
      </c>
      <c r="Q70" s="2"/>
      <c r="R70" s="2"/>
      <c r="S70" s="2"/>
      <c r="T70" s="2"/>
    </row>
    <row r="71" spans="4:20" ht="17" customHeight="1" x14ac:dyDescent="0.3">
      <c r="D71" s="118" t="s">
        <v>101</v>
      </c>
      <c r="E71" s="216">
        <f>'Sources Uses'!AE$20</f>
        <v>20075</v>
      </c>
      <c r="F71" s="217">
        <f>'Sources Uses'!$AC$20</f>
        <v>290</v>
      </c>
      <c r="G71" s="214">
        <f>'Sources Uses'!AG$20</f>
        <v>5821750</v>
      </c>
      <c r="I71" s="119" t="s">
        <v>105</v>
      </c>
      <c r="J71" s="393">
        <f>ROUND('Pro-Forma'!G91, -2)</f>
        <v>3402800</v>
      </c>
      <c r="L71" s="119" t="s">
        <v>91</v>
      </c>
      <c r="M71" s="395">
        <f>'Pro-Forma'!G84</f>
        <v>-311775</v>
      </c>
      <c r="N71" s="396">
        <f>'Pro-Forma'!Y84</f>
        <v>-406795.65938836278</v>
      </c>
      <c r="O71" s="396">
        <f>'Pro-Forma'!K84</f>
        <v>-330762.09750000003</v>
      </c>
      <c r="Q71" s="2"/>
      <c r="R71" s="2"/>
      <c r="S71" s="2"/>
      <c r="T71" s="2"/>
    </row>
    <row r="72" spans="4:20" ht="17" customHeight="1" x14ac:dyDescent="0.3">
      <c r="D72" s="119" t="s">
        <v>165</v>
      </c>
      <c r="E72" s="216">
        <f>'Sources Uses'!AE$21</f>
        <v>26385</v>
      </c>
      <c r="F72" s="217">
        <f>'Sources Uses'!$AC$21</f>
        <v>25</v>
      </c>
      <c r="G72" s="214">
        <f>'Sources Uses'!AG$21</f>
        <v>659625</v>
      </c>
      <c r="I72" s="119" t="s">
        <v>88</v>
      </c>
      <c r="J72" s="393">
        <f>ROUNDDOWN('Pro-Forma'!G92, -2)</f>
        <v>5104100</v>
      </c>
      <c r="L72" s="132" t="s">
        <v>98</v>
      </c>
      <c r="M72" s="398">
        <f>'Pro-Forma'!G86</f>
        <v>210056.25</v>
      </c>
      <c r="N72" s="399">
        <f>'Pro-Forma'!Y86</f>
        <v>322641.47383126582</v>
      </c>
      <c r="O72" s="399">
        <f>'Pro-Forma'!K86</f>
        <v>234253.47562499996</v>
      </c>
      <c r="Q72" s="2"/>
      <c r="R72" s="2"/>
      <c r="S72" s="2"/>
      <c r="T72" s="2"/>
    </row>
    <row r="73" spans="4:20" ht="17" customHeight="1" thickBot="1" x14ac:dyDescent="0.35">
      <c r="D73" s="119" t="s">
        <v>237</v>
      </c>
      <c r="E73" s="131"/>
      <c r="F73" s="130"/>
      <c r="G73" s="214">
        <f>'Sources Uses'!AG$18+'Sources Uses'!AG$19</f>
        <v>70000</v>
      </c>
      <c r="I73" s="134" t="s">
        <v>4</v>
      </c>
      <c r="J73" s="394">
        <f>SUM(J70:J72)</f>
        <v>10633600</v>
      </c>
      <c r="L73" s="119"/>
      <c r="M73" s="400"/>
      <c r="N73" s="401"/>
      <c r="O73" s="401"/>
      <c r="Q73" s="2"/>
      <c r="R73" s="2"/>
      <c r="S73" s="2"/>
      <c r="T73" s="2"/>
    </row>
    <row r="74" spans="4:20" ht="17" customHeight="1" x14ac:dyDescent="0.3">
      <c r="D74" s="119" t="s">
        <v>166</v>
      </c>
      <c r="E74" s="131"/>
      <c r="F74" s="130"/>
      <c r="G74" s="214">
        <f>'Sources Uses'!AG$22+'Sources Uses'!AG$23+'Sources Uses'!AG$24</f>
        <v>592050</v>
      </c>
      <c r="L74" s="118" t="s">
        <v>92</v>
      </c>
      <c r="M74" s="402">
        <f>'Pro-Forma'!G94</f>
        <v>231900</v>
      </c>
      <c r="N74" s="396">
        <f>'Pro-Forma'!Y94</f>
        <v>231900</v>
      </c>
      <c r="O74" s="396">
        <f>'Pro-Forma'!K94</f>
        <v>231900</v>
      </c>
      <c r="Q74" s="2"/>
      <c r="R74" s="2"/>
      <c r="S74" s="2"/>
      <c r="T74" s="2"/>
    </row>
    <row r="75" spans="4:20" ht="17" customHeight="1" x14ac:dyDescent="0.3">
      <c r="D75" s="119" t="s">
        <v>167</v>
      </c>
      <c r="E75" s="3"/>
      <c r="F75" s="133"/>
      <c r="G75" s="214">
        <f>'Sources Uses'!AG35</f>
        <v>1664400</v>
      </c>
      <c r="I75" s="389"/>
      <c r="J75" s="389"/>
      <c r="L75" s="118" t="s">
        <v>93</v>
      </c>
      <c r="M75" s="395">
        <f>'Pro-Forma'!G95</f>
        <v>-21843.75</v>
      </c>
      <c r="N75" s="403">
        <f>'Pro-Forma'!Y95</f>
        <v>90741.473831265816</v>
      </c>
      <c r="O75" s="403">
        <f>'Pro-Forma'!K95</f>
        <v>2353.4756249999627</v>
      </c>
      <c r="Q75" s="2"/>
      <c r="R75" s="2"/>
      <c r="S75" s="2"/>
      <c r="T75" s="2"/>
    </row>
    <row r="76" spans="4:20" ht="17" customHeight="1" x14ac:dyDescent="0.3">
      <c r="D76" s="119" t="s">
        <v>163</v>
      </c>
      <c r="E76" s="135"/>
      <c r="F76" s="136"/>
      <c r="G76" s="215">
        <f>'Sources Uses'!AG36</f>
        <v>8807800</v>
      </c>
      <c r="I76" s="378"/>
      <c r="J76" s="384"/>
      <c r="L76" s="138" t="s">
        <v>94</v>
      </c>
      <c r="M76" s="404">
        <f>'Pro-Forma'!G96</f>
        <v>0.90580530401034931</v>
      </c>
      <c r="N76" s="405">
        <f>'Pro-Forma'!Y96</f>
        <v>1.3912957043176619</v>
      </c>
      <c r="O76" s="405">
        <f>'Pro-Forma'!K96</f>
        <v>1.0101486659120309</v>
      </c>
      <c r="Q76" s="2"/>
      <c r="R76" s="2"/>
      <c r="S76" s="2"/>
      <c r="T76" s="2"/>
    </row>
    <row r="77" spans="4:20" ht="17" customHeight="1" x14ac:dyDescent="0.3">
      <c r="D77" s="119"/>
      <c r="E77" s="135"/>
      <c r="F77" s="136"/>
      <c r="G77" s="137"/>
      <c r="I77" s="4"/>
      <c r="J77" s="144"/>
      <c r="K77" s="2"/>
      <c r="L77" s="138"/>
      <c r="M77" s="406"/>
      <c r="N77" s="407"/>
      <c r="O77" s="407"/>
      <c r="Q77" s="2"/>
      <c r="R77" s="2"/>
      <c r="S77" s="2"/>
      <c r="T77" s="2"/>
    </row>
    <row r="78" spans="4:20" ht="17" customHeight="1" x14ac:dyDescent="0.3">
      <c r="D78" s="119" t="s">
        <v>164</v>
      </c>
      <c r="E78" s="135"/>
      <c r="F78" s="136"/>
      <c r="G78" s="215">
        <f>'Sources Uses'!AG$45</f>
        <v>1825800</v>
      </c>
      <c r="H78" s="2"/>
      <c r="I78" s="4"/>
      <c r="J78" s="144"/>
      <c r="K78" s="2"/>
      <c r="L78" s="138" t="s">
        <v>95</v>
      </c>
      <c r="M78" s="408">
        <f>'Pro-Forma'!G97</f>
        <v>-2.8589305037921443E-3</v>
      </c>
      <c r="N78" s="409">
        <f>'Pro-Forma'!Y97</f>
        <v>1.1876329270169383E-2</v>
      </c>
      <c r="O78" s="409">
        <f>'Pro-Forma'!K97</f>
        <v>3.0802509890672045E-4</v>
      </c>
      <c r="Q78" s="2"/>
      <c r="R78" s="2"/>
      <c r="S78" s="2"/>
      <c r="T78" s="2"/>
    </row>
    <row r="79" spans="4:20" ht="17" customHeight="1" thickBot="1" x14ac:dyDescent="0.35">
      <c r="D79" s="119"/>
      <c r="E79" s="135"/>
      <c r="F79" s="136"/>
      <c r="G79" s="137"/>
      <c r="H79" s="2"/>
      <c r="L79" s="141" t="s">
        <v>96</v>
      </c>
      <c r="M79" s="410">
        <f>'Pro-Forma'!G99</f>
        <v>-3.4307166045505731E-4</v>
      </c>
      <c r="N79" s="411">
        <f>'Pro-Forma'!Y99</f>
        <v>1.4251595124203259E-3</v>
      </c>
      <c r="O79" s="411">
        <f>'Pro-Forma'!K99</f>
        <v>3.6963011868806453E-5</v>
      </c>
      <c r="Q79" s="2"/>
    </row>
    <row r="80" spans="4:20" ht="17" customHeight="1" thickBot="1" x14ac:dyDescent="0.35">
      <c r="D80" s="134" t="s">
        <v>104</v>
      </c>
      <c r="E80" s="139"/>
      <c r="F80" s="140"/>
      <c r="G80" s="218">
        <f>'Sources Uses'!AG$47</f>
        <v>10633600</v>
      </c>
    </row>
    <row r="81" ht="17" customHeight="1" x14ac:dyDescent="0.3"/>
    <row r="82" ht="17" customHeight="1" x14ac:dyDescent="0.3"/>
    <row r="83" ht="17" customHeight="1" x14ac:dyDescent="0.3"/>
  </sheetData>
  <mergeCells count="19">
    <mergeCell ref="L68:N68"/>
    <mergeCell ref="D52:G52"/>
    <mergeCell ref="I52:J52"/>
    <mergeCell ref="L52:N52"/>
    <mergeCell ref="D51:F51"/>
    <mergeCell ref="D67:F67"/>
    <mergeCell ref="D68:G68"/>
    <mergeCell ref="I68:J68"/>
    <mergeCell ref="L9:O9"/>
    <mergeCell ref="L36:N36"/>
    <mergeCell ref="D36:G36"/>
    <mergeCell ref="I36:J36"/>
    <mergeCell ref="D35:F35"/>
    <mergeCell ref="L23:N23"/>
    <mergeCell ref="L31:M31"/>
    <mergeCell ref="L30:M30"/>
    <mergeCell ref="L26:M26"/>
    <mergeCell ref="L25:M25"/>
    <mergeCell ref="H9:J9"/>
  </mergeCells>
  <pageMargins left="0.7" right="0.7" top="0.75" bottom="0.75" header="0.3" footer="0.3"/>
  <pageSetup scale="35" fitToWidth="0" orientation="landscape" r:id="rId1"/>
  <headerFooter scaleWithDoc="0">
    <oddHeader>&amp;R&amp;G</oddHeader>
    <oddFooter>&amp;L&amp;G&amp;C&amp;9DRAFT &amp;P&amp;R&amp;9Page&amp;P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46299-6E97-40E8-B8A0-6B2284262FB1}">
  <sheetPr>
    <tabColor theme="9" tint="0.39997558519241921"/>
    <pageSetUpPr fitToPage="1"/>
  </sheetPr>
  <dimension ref="A1:AI217"/>
  <sheetViews>
    <sheetView tabSelected="1" zoomScale="60" zoomScaleNormal="60" workbookViewId="0">
      <pane xSplit="4" ySplit="11" topLeftCell="E49" activePane="bottomRight" state="frozen"/>
      <selection activeCell="N26" sqref="N26"/>
      <selection pane="topRight" activeCell="N26" sqref="N26"/>
      <selection pane="bottomLeft" activeCell="N26" sqref="N26"/>
      <selection pane="bottomRight" activeCell="N26" sqref="N26"/>
    </sheetView>
  </sheetViews>
  <sheetFormatPr defaultColWidth="8.7265625" defaultRowHeight="14" outlineLevelRow="1" outlineLevelCol="1" x14ac:dyDescent="0.3"/>
  <cols>
    <col min="1" max="1" width="1.36328125" style="1" customWidth="1"/>
    <col min="2" max="2" width="13.453125" style="1" customWidth="1"/>
    <col min="3" max="3" width="39.81640625" style="509" customWidth="1"/>
    <col min="4" max="4" width="1.1796875" style="2" customWidth="1"/>
    <col min="5" max="5" width="9.36328125" style="457" customWidth="1"/>
    <col min="6" max="6" width="1.1796875" style="457" customWidth="1"/>
    <col min="7" max="7" width="8.36328125" style="539" customWidth="1"/>
    <col min="8" max="8" width="1.1796875" style="539" customWidth="1"/>
    <col min="9" max="9" width="14.453125" style="457" customWidth="1"/>
    <col min="10" max="10" width="1.1796875" style="1" customWidth="1" outlineLevel="1"/>
    <col min="11" max="11" width="36.6328125" style="455" customWidth="1" outlineLevel="1"/>
    <col min="12" max="12" width="4.1796875" style="98" customWidth="1"/>
    <col min="13" max="13" width="9.36328125" style="457" customWidth="1"/>
    <col min="14" max="14" width="1.1796875" style="457" customWidth="1"/>
    <col min="15" max="15" width="8.36328125" style="457" customWidth="1"/>
    <col min="16" max="16" width="1.1796875" style="457" customWidth="1"/>
    <col min="17" max="17" width="14.453125" style="457" customWidth="1"/>
    <col min="18" max="18" width="1.1796875" style="2" customWidth="1" outlineLevel="1"/>
    <col min="19" max="19" width="28.453125" style="554" customWidth="1" outlineLevel="1"/>
    <col min="20" max="20" width="4.1796875" style="98" customWidth="1"/>
    <col min="21" max="21" width="9.36328125" style="457" customWidth="1"/>
    <col min="22" max="22" width="1.1796875" style="457" customWidth="1"/>
    <col min="23" max="23" width="8.36328125" style="457" customWidth="1"/>
    <col min="24" max="24" width="1.1796875" style="457" customWidth="1"/>
    <col min="25" max="25" width="14.453125" style="509" customWidth="1"/>
    <col min="26" max="26" width="1.1796875" style="1" customWidth="1" outlineLevel="1"/>
    <col min="27" max="27" width="28.36328125" style="111" customWidth="1" outlineLevel="1"/>
    <col min="28" max="28" width="4.1796875" style="99" customWidth="1"/>
    <col min="29" max="29" width="9.36328125" style="457" customWidth="1"/>
    <col min="30" max="30" width="1.1796875" style="457" customWidth="1"/>
    <col min="31" max="31" width="8.36328125" style="457" customWidth="1"/>
    <col min="32" max="32" width="1.1796875" style="457" customWidth="1"/>
    <col min="33" max="33" width="14.453125" style="509" customWidth="1"/>
    <col min="34" max="34" width="1.1796875" style="1" customWidth="1" outlineLevel="1"/>
    <col min="35" max="35" width="29.90625" style="111" customWidth="1" outlineLevel="1"/>
    <col min="36" max="16384" width="8.7265625" style="1"/>
  </cols>
  <sheetData>
    <row r="1" spans="1:35" ht="84" customHeight="1" outlineLevel="1" thickBot="1" x14ac:dyDescent="0.35">
      <c r="A1" s="2"/>
      <c r="B1" s="653" t="s">
        <v>230</v>
      </c>
      <c r="C1" s="654"/>
      <c r="D1" s="574"/>
      <c r="E1" s="574"/>
      <c r="F1" s="574"/>
      <c r="G1" s="565"/>
      <c r="H1" s="565"/>
      <c r="I1" s="565"/>
      <c r="J1" s="565"/>
      <c r="K1" s="611"/>
      <c r="L1" s="4"/>
      <c r="M1" s="242" t="s">
        <v>170</v>
      </c>
      <c r="N1" s="242"/>
      <c r="O1" s="241"/>
      <c r="T1" s="4"/>
      <c r="U1" s="467"/>
      <c r="V1" s="467"/>
      <c r="W1" s="467"/>
      <c r="X1" s="467"/>
      <c r="Y1" s="467"/>
      <c r="Z1" s="4"/>
      <c r="AA1" s="612"/>
      <c r="AB1" s="3"/>
      <c r="AC1" s="467"/>
      <c r="AG1" s="457"/>
      <c r="AH1" s="2"/>
      <c r="AI1" s="110"/>
    </row>
    <row r="2" spans="1:35" s="190" customFormat="1" ht="18" outlineLevel="1" x14ac:dyDescent="0.35">
      <c r="C2" s="458"/>
      <c r="D2" s="115"/>
      <c r="E2" s="458"/>
      <c r="F2" s="458"/>
      <c r="G2" s="458"/>
      <c r="H2" s="458"/>
      <c r="I2" s="458"/>
      <c r="J2" s="115"/>
      <c r="K2" s="575"/>
      <c r="M2" s="478"/>
      <c r="N2" s="510"/>
      <c r="O2" s="509" t="s">
        <v>168</v>
      </c>
      <c r="P2" s="458"/>
      <c r="Q2" s="458"/>
      <c r="R2" s="115"/>
      <c r="S2" s="555"/>
      <c r="U2" s="458"/>
      <c r="V2" s="458"/>
      <c r="W2" s="458"/>
      <c r="X2" s="458"/>
      <c r="Y2" s="458"/>
      <c r="Z2" s="115"/>
      <c r="AA2" s="115"/>
      <c r="AC2" s="458"/>
      <c r="AD2" s="458"/>
      <c r="AE2" s="458"/>
      <c r="AF2" s="458"/>
      <c r="AG2" s="458"/>
      <c r="AH2" s="115"/>
      <c r="AI2" s="115"/>
    </row>
    <row r="3" spans="1:35" s="190" customFormat="1" ht="22.5" outlineLevel="1" x14ac:dyDescent="0.45">
      <c r="B3" s="219" t="s">
        <v>83</v>
      </c>
      <c r="C3" s="220"/>
      <c r="D3" s="209"/>
      <c r="E3" s="210"/>
      <c r="F3" s="211"/>
      <c r="G3" s="210"/>
      <c r="H3" s="459"/>
      <c r="I3" s="459"/>
      <c r="J3" s="14"/>
      <c r="K3" s="444"/>
      <c r="L3" s="14"/>
      <c r="M3" s="479"/>
      <c r="N3" s="510"/>
      <c r="O3" s="459" t="s">
        <v>169</v>
      </c>
      <c r="P3" s="459"/>
      <c r="Q3" s="459"/>
      <c r="R3" s="14"/>
      <c r="S3" s="556"/>
      <c r="T3" s="14"/>
      <c r="U3" s="459"/>
      <c r="V3" s="459"/>
      <c r="W3" s="459"/>
      <c r="X3" s="459"/>
      <c r="Y3" s="459"/>
      <c r="Z3" s="14"/>
      <c r="AA3" s="14"/>
      <c r="AB3" s="14"/>
      <c r="AC3" s="459"/>
      <c r="AD3" s="459"/>
      <c r="AE3" s="459"/>
      <c r="AF3" s="459"/>
      <c r="AG3" s="459"/>
      <c r="AH3" s="115"/>
      <c r="AI3" s="115"/>
    </row>
    <row r="4" spans="1:35" s="190" customFormat="1" ht="22.5" outlineLevel="1" x14ac:dyDescent="0.45">
      <c r="B4" s="185" t="s">
        <v>84</v>
      </c>
      <c r="C4" s="603" t="str">
        <f>'Site Base Data'!C4</f>
        <v>Michigan</v>
      </c>
      <c r="D4" s="101"/>
      <c r="E4" s="210"/>
      <c r="F4" s="211"/>
      <c r="G4" s="210"/>
      <c r="H4" s="459"/>
      <c r="I4" s="460"/>
      <c r="J4" s="14"/>
      <c r="K4" s="444"/>
      <c r="L4" s="13"/>
      <c r="M4" s="232"/>
      <c r="N4" s="510"/>
      <c r="O4" s="459" t="s">
        <v>105</v>
      </c>
      <c r="P4" s="459"/>
      <c r="Q4" s="460"/>
      <c r="R4" s="115"/>
      <c r="S4" s="555"/>
      <c r="U4" s="458"/>
      <c r="V4" s="458"/>
      <c r="W4" s="458"/>
      <c r="X4" s="458"/>
      <c r="Y4" s="458"/>
      <c r="Z4" s="115"/>
      <c r="AA4" s="115"/>
      <c r="AC4" s="458"/>
      <c r="AD4" s="458"/>
      <c r="AE4" s="458"/>
      <c r="AF4" s="458"/>
      <c r="AG4" s="458"/>
      <c r="AH4" s="115"/>
      <c r="AI4" s="115"/>
    </row>
    <row r="5" spans="1:35" s="190" customFormat="1" ht="15.5" outlineLevel="1" x14ac:dyDescent="0.35">
      <c r="B5" s="186" t="s">
        <v>85</v>
      </c>
      <c r="C5" s="603" t="str">
        <f>'Site Base Data'!C5</f>
        <v>115th &amp; Michigan</v>
      </c>
      <c r="D5" s="176"/>
      <c r="E5" s="434"/>
      <c r="F5" s="434"/>
      <c r="G5" s="434"/>
      <c r="H5" s="459"/>
      <c r="I5" s="459"/>
      <c r="J5" s="14"/>
      <c r="K5" s="444"/>
      <c r="L5" s="14"/>
      <c r="M5" s="480"/>
      <c r="N5" s="459"/>
      <c r="O5" s="459" t="s">
        <v>171</v>
      </c>
      <c r="P5" s="459"/>
      <c r="Q5" s="460"/>
      <c r="R5" s="115"/>
      <c r="S5" s="555"/>
      <c r="U5" s="458"/>
      <c r="V5" s="458"/>
      <c r="W5" s="458"/>
      <c r="X5" s="458"/>
      <c r="Y5" s="458"/>
      <c r="Z5" s="115"/>
      <c r="AA5" s="115"/>
      <c r="AC5" s="458"/>
      <c r="AD5" s="458"/>
      <c r="AE5" s="458"/>
      <c r="AF5" s="458"/>
      <c r="AG5" s="458"/>
      <c r="AH5" s="115"/>
      <c r="AI5" s="115"/>
    </row>
    <row r="6" spans="1:35" s="190" customFormat="1" ht="15.5" outlineLevel="1" x14ac:dyDescent="0.35">
      <c r="B6" s="186" t="s">
        <v>2</v>
      </c>
      <c r="C6" s="603">
        <f>'Site Base Data'!C6</f>
        <v>1</v>
      </c>
      <c r="D6" s="180"/>
      <c r="E6" s="177"/>
      <c r="F6" s="177"/>
      <c r="G6" s="177"/>
      <c r="H6" s="511"/>
      <c r="I6" s="389"/>
      <c r="J6" s="182"/>
      <c r="K6" s="445"/>
      <c r="L6" s="182"/>
      <c r="M6" s="226"/>
      <c r="N6" s="459"/>
      <c r="O6" s="459" t="s">
        <v>82</v>
      </c>
      <c r="P6" s="459"/>
      <c r="Q6" s="460"/>
      <c r="R6" s="115"/>
      <c r="S6" s="555"/>
      <c r="U6" s="458"/>
      <c r="V6" s="458"/>
      <c r="W6" s="458"/>
      <c r="X6" s="458"/>
      <c r="Y6" s="458"/>
      <c r="Z6" s="115"/>
      <c r="AA6" s="115"/>
      <c r="AC6" s="458"/>
      <c r="AD6" s="458"/>
      <c r="AE6" s="458"/>
      <c r="AF6" s="458"/>
      <c r="AG6" s="458"/>
      <c r="AH6" s="115"/>
      <c r="AI6" s="115"/>
    </row>
    <row r="7" spans="1:35" s="190" customFormat="1" ht="15.5" outlineLevel="1" x14ac:dyDescent="0.35">
      <c r="B7" s="189"/>
      <c r="C7" s="540"/>
      <c r="D7" s="97"/>
      <c r="E7" s="147"/>
      <c r="F7" s="509"/>
      <c r="G7" s="516"/>
      <c r="H7" s="459"/>
      <c r="I7" s="459"/>
      <c r="J7" s="14"/>
      <c r="K7" s="444"/>
      <c r="L7" s="14"/>
      <c r="M7" s="459"/>
      <c r="N7" s="459"/>
      <c r="O7" s="459"/>
      <c r="P7" s="459"/>
      <c r="Q7" s="459"/>
      <c r="R7" s="115"/>
      <c r="S7" s="555"/>
      <c r="U7" s="458"/>
      <c r="V7" s="458"/>
      <c r="W7" s="458"/>
      <c r="X7" s="458"/>
      <c r="Y7" s="458"/>
      <c r="Z7" s="115"/>
      <c r="AA7" s="115"/>
      <c r="AC7" s="458"/>
      <c r="AD7" s="458"/>
      <c r="AE7" s="458"/>
      <c r="AF7" s="458"/>
      <c r="AG7" s="458"/>
      <c r="AH7" s="115"/>
      <c r="AI7" s="115"/>
    </row>
    <row r="8" spans="1:35" s="190" customFormat="1" ht="15.5" x14ac:dyDescent="0.35">
      <c r="C8" s="458"/>
      <c r="D8" s="115"/>
      <c r="E8" s="640" t="s">
        <v>218</v>
      </c>
      <c r="F8" s="640"/>
      <c r="G8" s="640"/>
      <c r="H8" s="657"/>
      <c r="I8" s="657"/>
      <c r="J8" s="657"/>
      <c r="K8" s="657"/>
      <c r="M8" s="656" t="s">
        <v>221</v>
      </c>
      <c r="N8" s="656"/>
      <c r="O8" s="656"/>
      <c r="P8" s="657"/>
      <c r="Q8" s="657"/>
      <c r="R8" s="657"/>
      <c r="S8" s="657"/>
      <c r="U8" s="656" t="s">
        <v>220</v>
      </c>
      <c r="V8" s="656"/>
      <c r="W8" s="656"/>
      <c r="X8" s="657"/>
      <c r="Y8" s="657"/>
      <c r="Z8" s="657"/>
      <c r="AA8" s="657"/>
      <c r="AC8" s="656" t="s">
        <v>219</v>
      </c>
      <c r="AD8" s="656"/>
      <c r="AE8" s="656"/>
      <c r="AF8" s="657"/>
      <c r="AG8" s="657"/>
      <c r="AH8" s="657"/>
      <c r="AI8" s="657"/>
    </row>
    <row r="9" spans="1:35" ht="15.5" x14ac:dyDescent="0.35">
      <c r="C9" s="541"/>
      <c r="D9" s="95"/>
      <c r="E9" s="655" t="s">
        <v>38</v>
      </c>
      <c r="F9" s="655"/>
      <c r="G9" s="655"/>
      <c r="H9" s="655"/>
      <c r="I9" s="655"/>
      <c r="J9" s="655"/>
      <c r="K9" s="655"/>
      <c r="M9" s="655" t="s">
        <v>38</v>
      </c>
      <c r="N9" s="655"/>
      <c r="O9" s="655"/>
      <c r="P9" s="655"/>
      <c r="Q9" s="655"/>
      <c r="R9" s="655"/>
      <c r="S9" s="655"/>
      <c r="U9" s="655" t="s">
        <v>38</v>
      </c>
      <c r="V9" s="655"/>
      <c r="W9" s="655"/>
      <c r="X9" s="655"/>
      <c r="Y9" s="655"/>
      <c r="Z9" s="655"/>
      <c r="AA9" s="655"/>
      <c r="AC9" s="655" t="s">
        <v>38</v>
      </c>
      <c r="AD9" s="655"/>
      <c r="AE9" s="655"/>
      <c r="AF9" s="655"/>
      <c r="AG9" s="655"/>
      <c r="AH9" s="655"/>
      <c r="AI9" s="655"/>
    </row>
    <row r="10" spans="1:35" ht="15.5" x14ac:dyDescent="0.35">
      <c r="C10" s="542" t="s">
        <v>3</v>
      </c>
      <c r="D10" s="7"/>
      <c r="E10" s="210"/>
      <c r="F10" s="210"/>
      <c r="G10" s="209"/>
      <c r="H10" s="209"/>
      <c r="I10" s="210"/>
      <c r="J10" s="5"/>
      <c r="K10" s="250"/>
      <c r="M10" s="481"/>
      <c r="N10" s="481"/>
      <c r="O10" s="209"/>
      <c r="P10" s="210"/>
      <c r="Q10" s="210"/>
      <c r="R10" s="7"/>
      <c r="U10" s="481"/>
      <c r="V10" s="481"/>
      <c r="W10" s="209"/>
      <c r="X10" s="210"/>
      <c r="Y10" s="210"/>
      <c r="Z10" s="7"/>
      <c r="AA10" s="110"/>
      <c r="AC10" s="481"/>
      <c r="AD10" s="481"/>
      <c r="AE10" s="209"/>
      <c r="AF10" s="210"/>
      <c r="AG10" s="210"/>
      <c r="AH10" s="7"/>
      <c r="AI10" s="110"/>
    </row>
    <row r="11" spans="1:35" s="147" customFormat="1" ht="69" thickBot="1" x14ac:dyDescent="0.7">
      <c r="C11" s="272"/>
      <c r="D11" s="273"/>
      <c r="E11" s="284" t="s">
        <v>125</v>
      </c>
      <c r="F11" s="273"/>
      <c r="G11" s="285" t="s">
        <v>0</v>
      </c>
      <c r="H11" s="274"/>
      <c r="I11" s="273" t="s">
        <v>39</v>
      </c>
      <c r="J11" s="275"/>
      <c r="K11" s="286" t="s">
        <v>184</v>
      </c>
      <c r="L11" s="276"/>
      <c r="M11" s="303" t="s">
        <v>125</v>
      </c>
      <c r="N11" s="303"/>
      <c r="O11" s="285" t="s">
        <v>0</v>
      </c>
      <c r="P11" s="273"/>
      <c r="Q11" s="273" t="s">
        <v>39</v>
      </c>
      <c r="R11" s="277"/>
      <c r="S11" s="304" t="str">
        <f>'Site Base Data'!E11</f>
        <v>Multi-family,
Retail</v>
      </c>
      <c r="T11" s="276"/>
      <c r="U11" s="303" t="s">
        <v>125</v>
      </c>
      <c r="V11" s="303"/>
      <c r="W11" s="285" t="s">
        <v>0</v>
      </c>
      <c r="X11" s="273"/>
      <c r="Y11" s="273" t="s">
        <v>39</v>
      </c>
      <c r="Z11" s="277"/>
      <c r="AA11" s="304" t="str">
        <f>'Site Base Data'!F11</f>
        <v>Multi-family, 
Retail</v>
      </c>
      <c r="AB11" s="278"/>
      <c r="AC11" s="303" t="s">
        <v>125</v>
      </c>
      <c r="AD11" s="303"/>
      <c r="AE11" s="285" t="s">
        <v>0</v>
      </c>
      <c r="AF11" s="273"/>
      <c r="AG11" s="273" t="s">
        <v>39</v>
      </c>
      <c r="AH11" s="277"/>
      <c r="AI11" s="304" t="str">
        <f>'Site Base Data'!G11</f>
        <v>Commercial, Grocery</v>
      </c>
    </row>
    <row r="12" spans="1:35" x14ac:dyDescent="0.3">
      <c r="C12" s="543" t="s">
        <v>41</v>
      </c>
      <c r="D12" s="7"/>
      <c r="E12" s="517"/>
      <c r="F12" s="461"/>
      <c r="G12" s="498"/>
      <c r="H12" s="498"/>
      <c r="I12" s="461"/>
      <c r="J12" s="288"/>
      <c r="K12" s="446"/>
      <c r="L12" s="4"/>
      <c r="M12" s="482"/>
      <c r="N12" s="497"/>
      <c r="O12" s="498"/>
      <c r="P12" s="461"/>
      <c r="Q12" s="461"/>
      <c r="R12" s="287"/>
      <c r="S12" s="557"/>
      <c r="T12" s="4"/>
      <c r="U12" s="482"/>
      <c r="V12" s="497"/>
      <c r="W12" s="498"/>
      <c r="X12" s="461"/>
      <c r="Y12" s="461"/>
      <c r="Z12" s="287"/>
      <c r="AA12" s="305"/>
      <c r="AB12" s="3"/>
      <c r="AC12" s="482"/>
      <c r="AD12" s="497"/>
      <c r="AE12" s="498"/>
      <c r="AF12" s="461"/>
      <c r="AG12" s="461"/>
      <c r="AH12" s="287"/>
      <c r="AI12" s="305"/>
    </row>
    <row r="13" spans="1:35" s="2" customFormat="1" ht="52" x14ac:dyDescent="0.3">
      <c r="C13" s="547" t="s">
        <v>106</v>
      </c>
      <c r="D13" s="8"/>
      <c r="E13" s="483"/>
      <c r="F13" s="467"/>
      <c r="G13" s="467"/>
      <c r="H13" s="467"/>
      <c r="I13" s="609" t="s">
        <v>238</v>
      </c>
      <c r="J13" s="289"/>
      <c r="K13" s="456" t="s">
        <v>228</v>
      </c>
      <c r="L13" s="4"/>
      <c r="M13" s="483"/>
      <c r="N13" s="467"/>
      <c r="O13" s="467"/>
      <c r="P13" s="467"/>
      <c r="Q13" s="609" t="s">
        <v>238</v>
      </c>
      <c r="R13" s="11"/>
      <c r="S13" s="553" t="s">
        <v>229</v>
      </c>
      <c r="T13" s="4"/>
      <c r="U13" s="483"/>
      <c r="V13" s="467"/>
      <c r="W13" s="467"/>
      <c r="X13" s="467"/>
      <c r="Y13" s="609" t="s">
        <v>238</v>
      </c>
      <c r="Z13" s="11"/>
      <c r="AA13" s="553" t="s">
        <v>229</v>
      </c>
      <c r="AB13" s="4"/>
      <c r="AC13" s="483"/>
      <c r="AD13" s="467"/>
      <c r="AE13" s="467"/>
      <c r="AF13" s="467"/>
      <c r="AG13" s="609" t="s">
        <v>238</v>
      </c>
      <c r="AH13" s="11"/>
      <c r="AI13" s="553" t="s">
        <v>229</v>
      </c>
    </row>
    <row r="14" spans="1:35" x14ac:dyDescent="0.3">
      <c r="C14" s="545" t="s">
        <v>124</v>
      </c>
      <c r="D14" s="9"/>
      <c r="E14" s="518"/>
      <c r="F14" s="463"/>
      <c r="G14" s="519"/>
      <c r="H14" s="519"/>
      <c r="I14" s="463"/>
      <c r="J14" s="290"/>
      <c r="K14" s="447"/>
      <c r="L14" s="4"/>
      <c r="M14" s="483"/>
      <c r="N14" s="467"/>
      <c r="O14" s="467"/>
      <c r="P14" s="467"/>
      <c r="Q14" s="467"/>
      <c r="R14" s="4"/>
      <c r="S14" s="553"/>
      <c r="T14" s="4"/>
      <c r="U14" s="483"/>
      <c r="V14" s="467"/>
      <c r="W14" s="467"/>
      <c r="X14" s="467"/>
      <c r="Y14" s="467"/>
      <c r="Z14" s="4"/>
      <c r="AA14" s="306"/>
      <c r="AB14" s="3"/>
      <c r="AC14" s="483"/>
      <c r="AD14" s="467"/>
      <c r="AE14" s="467"/>
      <c r="AF14" s="467"/>
      <c r="AG14" s="467"/>
      <c r="AH14" s="4"/>
      <c r="AI14" s="306"/>
    </row>
    <row r="15" spans="1:35" x14ac:dyDescent="0.3">
      <c r="C15" s="546"/>
      <c r="D15" s="8"/>
      <c r="E15" s="520"/>
      <c r="F15" s="464"/>
      <c r="G15" s="521"/>
      <c r="H15" s="521"/>
      <c r="I15" s="464"/>
      <c r="J15" s="315"/>
      <c r="K15" s="448"/>
      <c r="L15" s="4"/>
      <c r="M15" s="484"/>
      <c r="N15" s="473"/>
      <c r="O15" s="473"/>
      <c r="P15" s="473"/>
      <c r="Q15" s="473"/>
      <c r="R15" s="318"/>
      <c r="S15" s="558"/>
      <c r="T15" s="4"/>
      <c r="U15" s="483"/>
      <c r="V15" s="467"/>
      <c r="W15" s="467"/>
      <c r="X15" s="467"/>
      <c r="Y15" s="467"/>
      <c r="Z15" s="4"/>
      <c r="AA15" s="306"/>
      <c r="AB15" s="3"/>
      <c r="AC15" s="483"/>
      <c r="AD15" s="467"/>
      <c r="AE15" s="467"/>
      <c r="AF15" s="467"/>
      <c r="AG15" s="467"/>
      <c r="AH15" s="4"/>
      <c r="AI15" s="306"/>
    </row>
    <row r="16" spans="1:35" x14ac:dyDescent="0.3">
      <c r="C16" s="543" t="s">
        <v>40</v>
      </c>
      <c r="D16" s="8"/>
      <c r="E16" s="522"/>
      <c r="F16" s="465"/>
      <c r="G16" s="523"/>
      <c r="H16" s="523"/>
      <c r="I16" s="465"/>
      <c r="J16" s="316"/>
      <c r="K16" s="449"/>
      <c r="L16" s="4"/>
      <c r="M16" s="485"/>
      <c r="N16" s="474"/>
      <c r="O16" s="474"/>
      <c r="P16" s="474"/>
      <c r="Q16" s="474"/>
      <c r="R16" s="319"/>
      <c r="S16" s="559"/>
      <c r="T16" s="4"/>
      <c r="U16" s="485"/>
      <c r="V16" s="474"/>
      <c r="W16" s="474"/>
      <c r="X16" s="474"/>
      <c r="Y16" s="474"/>
      <c r="Z16" s="319"/>
      <c r="AA16" s="320"/>
      <c r="AB16" s="3"/>
      <c r="AC16" s="485"/>
      <c r="AD16" s="474"/>
      <c r="AE16" s="474"/>
      <c r="AF16" s="474"/>
      <c r="AG16" s="474"/>
      <c r="AH16" s="319"/>
      <c r="AI16" s="320"/>
    </row>
    <row r="17" spans="3:35" ht="52" x14ac:dyDescent="0.3">
      <c r="C17" s="547" t="s">
        <v>120</v>
      </c>
      <c r="D17" s="8"/>
      <c r="E17" s="487" t="s">
        <v>214</v>
      </c>
      <c r="F17" s="499"/>
      <c r="G17" s="500">
        <f>'Site Base Data'!$D$9</f>
        <v>112455</v>
      </c>
      <c r="H17" s="499"/>
      <c r="I17" s="609" t="s">
        <v>238</v>
      </c>
      <c r="J17" s="271"/>
      <c r="K17" s="291" t="s">
        <v>226</v>
      </c>
      <c r="L17" s="4"/>
      <c r="M17" s="486"/>
      <c r="N17" s="462"/>
      <c r="O17" s="499">
        <v>0</v>
      </c>
      <c r="P17" s="467"/>
      <c r="Q17" s="609"/>
      <c r="R17" s="4"/>
      <c r="S17" s="291" t="s">
        <v>187</v>
      </c>
      <c r="T17" s="4"/>
      <c r="U17" s="486"/>
      <c r="V17" s="462"/>
      <c r="W17" s="499">
        <v>0</v>
      </c>
      <c r="X17" s="467"/>
      <c r="Y17" s="609"/>
      <c r="Z17" s="4"/>
      <c r="AA17" s="293" t="s">
        <v>187</v>
      </c>
      <c r="AB17" s="3"/>
      <c r="AC17" s="486"/>
      <c r="AD17" s="462"/>
      <c r="AE17" s="499">
        <v>0</v>
      </c>
      <c r="AF17" s="467"/>
      <c r="AG17" s="467"/>
      <c r="AH17" s="4"/>
      <c r="AI17" s="293" t="s">
        <v>187</v>
      </c>
    </row>
    <row r="18" spans="3:35" ht="39" x14ac:dyDescent="0.3">
      <c r="C18" s="547" t="s">
        <v>107</v>
      </c>
      <c r="D18" s="8"/>
      <c r="E18" s="487" t="s">
        <v>214</v>
      </c>
      <c r="F18" s="499"/>
      <c r="G18" s="500">
        <f>'Site Base Data'!$D$9</f>
        <v>112455</v>
      </c>
      <c r="H18" s="499"/>
      <c r="I18" s="462">
        <v>75000</v>
      </c>
      <c r="J18" s="292"/>
      <c r="K18" s="291" t="s">
        <v>224</v>
      </c>
      <c r="L18" s="4"/>
      <c r="M18" s="487" t="s">
        <v>214</v>
      </c>
      <c r="N18" s="467"/>
      <c r="O18" s="499">
        <v>0</v>
      </c>
      <c r="P18" s="467"/>
      <c r="Q18" s="462">
        <v>40000</v>
      </c>
      <c r="R18" s="292"/>
      <c r="S18" s="291" t="s">
        <v>223</v>
      </c>
      <c r="T18" s="4"/>
      <c r="U18" s="487" t="s">
        <v>214</v>
      </c>
      <c r="V18" s="467"/>
      <c r="W18" s="499">
        <v>0</v>
      </c>
      <c r="X18" s="467"/>
      <c r="Y18" s="462">
        <v>40000</v>
      </c>
      <c r="Z18" s="292"/>
      <c r="AA18" s="291" t="s">
        <v>223</v>
      </c>
      <c r="AB18" s="3"/>
      <c r="AC18" s="487" t="s">
        <v>214</v>
      </c>
      <c r="AD18" s="467"/>
      <c r="AE18" s="499">
        <v>0</v>
      </c>
      <c r="AF18" s="467"/>
      <c r="AG18" s="462">
        <v>20000</v>
      </c>
      <c r="AH18" s="292"/>
      <c r="AI18" s="291" t="s">
        <v>225</v>
      </c>
    </row>
    <row r="19" spans="3:35" ht="19" customHeight="1" x14ac:dyDescent="0.3">
      <c r="C19" s="547" t="s">
        <v>172</v>
      </c>
      <c r="D19" s="8"/>
      <c r="E19" s="487" t="s">
        <v>214</v>
      </c>
      <c r="F19" s="499"/>
      <c r="G19" s="500">
        <f>'Site Base Data'!$D$9</f>
        <v>112455</v>
      </c>
      <c r="H19" s="499"/>
      <c r="I19" s="462">
        <v>75000</v>
      </c>
      <c r="J19" s="292"/>
      <c r="K19" s="291" t="s">
        <v>217</v>
      </c>
      <c r="L19" s="4"/>
      <c r="M19" s="487" t="s">
        <v>214</v>
      </c>
      <c r="N19" s="467"/>
      <c r="O19" s="500">
        <f>'Site Base Data'!E9</f>
        <v>36495</v>
      </c>
      <c r="P19" s="467"/>
      <c r="Q19" s="462">
        <v>50000</v>
      </c>
      <c r="R19" s="4"/>
      <c r="S19" s="291" t="s">
        <v>215</v>
      </c>
      <c r="T19" s="4"/>
      <c r="U19" s="483"/>
      <c r="V19" s="467"/>
      <c r="W19" s="500">
        <f>'Site Base Data'!F9</f>
        <v>29500</v>
      </c>
      <c r="X19" s="467"/>
      <c r="Y19" s="462">
        <v>50000</v>
      </c>
      <c r="Z19" s="4"/>
      <c r="AA19" s="293" t="s">
        <v>215</v>
      </c>
      <c r="AB19" s="3"/>
      <c r="AC19" s="483"/>
      <c r="AD19" s="467"/>
      <c r="AE19" s="499">
        <f>'Site Base Data'!G9</f>
        <v>46460</v>
      </c>
      <c r="AF19" s="467"/>
      <c r="AG19" s="462">
        <v>50000</v>
      </c>
      <c r="AH19" s="4"/>
      <c r="AI19" s="293" t="s">
        <v>215</v>
      </c>
    </row>
    <row r="20" spans="3:35" x14ac:dyDescent="0.3">
      <c r="C20" s="547" t="s">
        <v>113</v>
      </c>
      <c r="D20" s="8"/>
      <c r="E20" s="488">
        <v>0</v>
      </c>
      <c r="F20" s="499"/>
      <c r="G20" s="499">
        <v>0</v>
      </c>
      <c r="H20" s="499"/>
      <c r="I20" s="462">
        <f>G20*E20</f>
        <v>0</v>
      </c>
      <c r="J20" s="292"/>
      <c r="K20" s="291" t="s">
        <v>141</v>
      </c>
      <c r="L20" s="4"/>
      <c r="M20" s="488">
        <v>400</v>
      </c>
      <c r="N20" s="467"/>
      <c r="O20" s="592">
        <f>'Site Base Data'!E22</f>
        <v>107235</v>
      </c>
      <c r="P20" s="467"/>
      <c r="Q20" s="462">
        <f>O20*$M20</f>
        <v>42894000</v>
      </c>
      <c r="R20" s="252"/>
      <c r="S20" s="553"/>
      <c r="T20" s="4"/>
      <c r="U20" s="495">
        <f>M20</f>
        <v>400</v>
      </c>
      <c r="V20" s="467"/>
      <c r="W20" s="592">
        <f>'Site Base Data'!F22</f>
        <v>98630</v>
      </c>
      <c r="X20" s="467"/>
      <c r="Y20" s="462">
        <f>W20*$U20</f>
        <v>39452000</v>
      </c>
      <c r="Z20" s="252"/>
      <c r="AA20" s="306"/>
      <c r="AB20" s="3"/>
      <c r="AC20" s="495">
        <v>290</v>
      </c>
      <c r="AD20" s="467"/>
      <c r="AE20" s="592">
        <f>'Site Base Data'!G22</f>
        <v>20075</v>
      </c>
      <c r="AF20" s="467"/>
      <c r="AG20" s="462">
        <f>AE20*$AC20</f>
        <v>5821750</v>
      </c>
      <c r="AH20" s="252"/>
      <c r="AI20" s="306"/>
    </row>
    <row r="21" spans="3:35" ht="17.5" customHeight="1" x14ac:dyDescent="0.3">
      <c r="C21" s="547" t="s">
        <v>239</v>
      </c>
      <c r="D21" s="8"/>
      <c r="E21" s="486">
        <v>15</v>
      </c>
      <c r="F21" s="462"/>
      <c r="G21" s="500">
        <f>'Site Base Data'!$D$9</f>
        <v>112455</v>
      </c>
      <c r="H21" s="499"/>
      <c r="I21" s="462">
        <f>G21*E21</f>
        <v>1686825</v>
      </c>
      <c r="J21" s="3"/>
      <c r="K21" s="291" t="s">
        <v>216</v>
      </c>
      <c r="L21" s="4"/>
      <c r="M21" s="486">
        <v>25</v>
      </c>
      <c r="N21" s="467"/>
      <c r="O21" s="592">
        <f>('Site Base Data'!E9-'Site Base Data'!E13)</f>
        <v>9140</v>
      </c>
      <c r="P21" s="467"/>
      <c r="Q21" s="462">
        <f>O21*$M21</f>
        <v>228500</v>
      </c>
      <c r="R21" s="252"/>
      <c r="S21" s="553"/>
      <c r="T21" s="4"/>
      <c r="U21" s="495">
        <f t="shared" ref="U21:U24" si="0">M21</f>
        <v>25</v>
      </c>
      <c r="V21" s="467"/>
      <c r="W21" s="592">
        <f>('Site Base Data'!F9-'Site Base Data'!F13)</f>
        <v>3370</v>
      </c>
      <c r="X21" s="467"/>
      <c r="Y21" s="462">
        <f>W21*$U21</f>
        <v>84250</v>
      </c>
      <c r="Z21" s="252"/>
      <c r="AA21" s="306"/>
      <c r="AB21" s="3"/>
      <c r="AC21" s="495">
        <f t="shared" ref="AC21:AC24" si="1">U21</f>
        <v>25</v>
      </c>
      <c r="AD21" s="467"/>
      <c r="AE21" s="592">
        <f>('Site Base Data'!G9-'Site Base Data'!G13)</f>
        <v>26385</v>
      </c>
      <c r="AF21" s="467"/>
      <c r="AG21" s="462">
        <f>AE21*$AC21</f>
        <v>659625</v>
      </c>
      <c r="AH21" s="252"/>
      <c r="AI21" s="306"/>
    </row>
    <row r="22" spans="3:35" x14ac:dyDescent="0.3">
      <c r="C22" s="547" t="s">
        <v>138</v>
      </c>
      <c r="D22" s="8"/>
      <c r="E22" s="486">
        <v>0</v>
      </c>
      <c r="F22" s="462"/>
      <c r="G22" s="500">
        <f>'Site Base Data'!$D37</f>
        <v>27125</v>
      </c>
      <c r="H22" s="499"/>
      <c r="I22" s="462">
        <f>G22*E22</f>
        <v>0</v>
      </c>
      <c r="J22" s="3"/>
      <c r="K22" s="291" t="s">
        <v>141</v>
      </c>
      <c r="L22" s="4"/>
      <c r="M22" s="486">
        <v>25</v>
      </c>
      <c r="N22" s="467"/>
      <c r="O22" s="593">
        <f>'Site Base Data'!E37</f>
        <v>8000</v>
      </c>
      <c r="P22" s="467"/>
      <c r="Q22" s="462">
        <f>O22*$M22</f>
        <v>200000</v>
      </c>
      <c r="R22" s="252"/>
      <c r="S22" s="553"/>
      <c r="T22" s="4"/>
      <c r="U22" s="495">
        <f t="shared" si="0"/>
        <v>25</v>
      </c>
      <c r="V22" s="467"/>
      <c r="W22" s="593">
        <f>'Site Base Data'!F37</f>
        <v>9175</v>
      </c>
      <c r="X22" s="467"/>
      <c r="Y22" s="462">
        <f>W22*$U22</f>
        <v>229375</v>
      </c>
      <c r="Z22" s="252"/>
      <c r="AA22" s="306"/>
      <c r="AB22" s="3"/>
      <c r="AC22" s="495">
        <f t="shared" si="1"/>
        <v>25</v>
      </c>
      <c r="AD22" s="467"/>
      <c r="AE22" s="593">
        <f>'Site Base Data'!G37</f>
        <v>9950</v>
      </c>
      <c r="AF22" s="467"/>
      <c r="AG22" s="462">
        <f>AE22*$AC22</f>
        <v>248750</v>
      </c>
      <c r="AH22" s="252"/>
      <c r="AI22" s="306"/>
    </row>
    <row r="23" spans="3:35" ht="17.5" customHeight="1" x14ac:dyDescent="0.3">
      <c r="C23" s="547" t="s">
        <v>139</v>
      </c>
      <c r="D23" s="8"/>
      <c r="E23" s="486">
        <v>10</v>
      </c>
      <c r="F23" s="462"/>
      <c r="G23" s="500">
        <f>'Site Base Data'!$D38</f>
        <v>22120</v>
      </c>
      <c r="H23" s="499"/>
      <c r="I23" s="462">
        <f>G23*E23</f>
        <v>221200</v>
      </c>
      <c r="J23" s="3"/>
      <c r="K23" s="291" t="s">
        <v>185</v>
      </c>
      <c r="L23" s="4"/>
      <c r="M23" s="486">
        <v>25</v>
      </c>
      <c r="N23" s="467"/>
      <c r="O23" s="594">
        <f>'Site Base Data'!E38</f>
        <v>4320</v>
      </c>
      <c r="P23" s="467"/>
      <c r="Q23" s="462">
        <f>O23*$M23</f>
        <v>108000</v>
      </c>
      <c r="R23" s="252"/>
      <c r="S23" s="553"/>
      <c r="T23" s="4"/>
      <c r="U23" s="495">
        <f t="shared" si="0"/>
        <v>25</v>
      </c>
      <c r="V23" s="467"/>
      <c r="W23" s="594">
        <f>'Site Base Data'!F38</f>
        <v>7740</v>
      </c>
      <c r="X23" s="467"/>
      <c r="Y23" s="462">
        <f>W23*$U23</f>
        <v>193500</v>
      </c>
      <c r="Z23" s="252"/>
      <c r="AA23" s="306"/>
      <c r="AB23" s="3"/>
      <c r="AC23" s="495">
        <f t="shared" si="1"/>
        <v>25</v>
      </c>
      <c r="AD23" s="467"/>
      <c r="AE23" s="594">
        <f>'Site Base Data'!G38</f>
        <v>10060</v>
      </c>
      <c r="AF23" s="467"/>
      <c r="AG23" s="462">
        <f>AE23*$AC23</f>
        <v>251500</v>
      </c>
      <c r="AH23" s="252"/>
      <c r="AI23" s="306"/>
    </row>
    <row r="24" spans="3:35" ht="17.5" customHeight="1" x14ac:dyDescent="0.3">
      <c r="C24" s="547" t="s">
        <v>140</v>
      </c>
      <c r="D24" s="8"/>
      <c r="E24" s="486">
        <v>5</v>
      </c>
      <c r="F24" s="462"/>
      <c r="G24" s="500">
        <f>'Site Base Data'!$D39</f>
        <v>51875</v>
      </c>
      <c r="H24" s="499"/>
      <c r="I24" s="462">
        <f>G24*E24</f>
        <v>259375</v>
      </c>
      <c r="J24" s="271"/>
      <c r="K24" s="291" t="s">
        <v>186</v>
      </c>
      <c r="L24" s="4"/>
      <c r="M24" s="486">
        <v>10</v>
      </c>
      <c r="N24" s="467"/>
      <c r="O24" s="595">
        <f>'Site Base Data'!E39</f>
        <v>22760</v>
      </c>
      <c r="P24" s="467"/>
      <c r="Q24" s="462">
        <f>O24*$M24</f>
        <v>227600</v>
      </c>
      <c r="R24" s="252"/>
      <c r="S24" s="553" t="s">
        <v>222</v>
      </c>
      <c r="T24" s="4"/>
      <c r="U24" s="495">
        <f t="shared" si="0"/>
        <v>10</v>
      </c>
      <c r="V24" s="467"/>
      <c r="W24" s="595">
        <f>'Site Base Data'!F39</f>
        <v>19935</v>
      </c>
      <c r="X24" s="467"/>
      <c r="Y24" s="462">
        <f>W24*$U24</f>
        <v>199350</v>
      </c>
      <c r="Z24" s="252"/>
      <c r="AA24" s="306" t="s">
        <v>222</v>
      </c>
      <c r="AB24" s="3"/>
      <c r="AC24" s="495">
        <f t="shared" si="1"/>
        <v>10</v>
      </c>
      <c r="AD24" s="467"/>
      <c r="AE24" s="595">
        <f>'Site Base Data'!G39</f>
        <v>9180</v>
      </c>
      <c r="AF24" s="467"/>
      <c r="AG24" s="462">
        <f>AE24*$AC24</f>
        <v>91800</v>
      </c>
      <c r="AH24" s="252"/>
      <c r="AI24" s="306" t="s">
        <v>222</v>
      </c>
    </row>
    <row r="25" spans="3:35" x14ac:dyDescent="0.3">
      <c r="C25" s="548" t="s">
        <v>192</v>
      </c>
      <c r="D25" s="93"/>
      <c r="E25" s="524"/>
      <c r="F25" s="525"/>
      <c r="G25" s="526"/>
      <c r="H25" s="526"/>
      <c r="I25" s="466">
        <f>ROUNDUP(SUM(I17:I24), -2)</f>
        <v>2317400</v>
      </c>
      <c r="J25" s="3"/>
      <c r="K25" s="450"/>
      <c r="L25" s="4"/>
      <c r="M25" s="483"/>
      <c r="N25" s="467"/>
      <c r="O25" s="467"/>
      <c r="P25" s="467"/>
      <c r="Q25" s="475">
        <f>ROUND(SUM(Q17:Q24), -2)</f>
        <v>43748100</v>
      </c>
      <c r="R25" s="295"/>
      <c r="S25" s="553"/>
      <c r="T25" s="4"/>
      <c r="U25" s="483"/>
      <c r="V25" s="467"/>
      <c r="W25" s="467"/>
      <c r="X25" s="467"/>
      <c r="Y25" s="475">
        <f>ROUND(SUM(Y17:Y24), -2)</f>
        <v>40248500</v>
      </c>
      <c r="Z25" s="295"/>
      <c r="AA25" s="306"/>
      <c r="AB25" s="3"/>
      <c r="AC25" s="483"/>
      <c r="AD25" s="467"/>
      <c r="AE25" s="467"/>
      <c r="AF25" s="467"/>
      <c r="AG25" s="475">
        <f>ROUND(SUM(AG17:AG24), -2)</f>
        <v>7143400</v>
      </c>
      <c r="AH25" s="295"/>
      <c r="AI25" s="306"/>
    </row>
    <row r="26" spans="3:35" x14ac:dyDescent="0.3">
      <c r="E26" s="483"/>
      <c r="F26" s="467"/>
      <c r="G26" s="527"/>
      <c r="H26" s="527"/>
      <c r="I26" s="467"/>
      <c r="J26" s="3"/>
      <c r="K26" s="450"/>
      <c r="L26" s="4"/>
      <c r="M26" s="483"/>
      <c r="N26" s="467"/>
      <c r="O26" s="467"/>
      <c r="P26" s="467"/>
      <c r="Q26" s="467"/>
      <c r="R26" s="4"/>
      <c r="S26" s="553"/>
      <c r="T26" s="4"/>
      <c r="U26" s="483"/>
      <c r="V26" s="467"/>
      <c r="W26" s="467"/>
      <c r="X26" s="467"/>
      <c r="Y26" s="467"/>
      <c r="Z26" s="4"/>
      <c r="AA26" s="306"/>
      <c r="AB26" s="3"/>
      <c r="AC26" s="483"/>
      <c r="AD26" s="467"/>
      <c r="AE26" s="467"/>
      <c r="AF26" s="467"/>
      <c r="AG26" s="467"/>
      <c r="AH26" s="4"/>
      <c r="AI26" s="306"/>
    </row>
    <row r="27" spans="3:35" x14ac:dyDescent="0.3">
      <c r="C27" s="547" t="s">
        <v>114</v>
      </c>
      <c r="D27" s="8"/>
      <c r="E27" s="528">
        <v>0.03</v>
      </c>
      <c r="F27" s="462"/>
      <c r="G27" s="499"/>
      <c r="H27" s="499"/>
      <c r="I27" s="468">
        <f>SUM($E27*$I$25)</f>
        <v>69522</v>
      </c>
      <c r="J27" s="271"/>
      <c r="K27" s="451"/>
      <c r="L27" s="4"/>
      <c r="M27" s="489"/>
      <c r="N27" s="501"/>
      <c r="O27" s="467"/>
      <c r="P27" s="467"/>
      <c r="Q27" s="468">
        <f>SUM($E27*Q$25)</f>
        <v>1312443</v>
      </c>
      <c r="R27" s="294"/>
      <c r="S27" s="553"/>
      <c r="T27" s="4"/>
      <c r="U27" s="489"/>
      <c r="V27" s="501"/>
      <c r="W27" s="467"/>
      <c r="X27" s="467"/>
      <c r="Y27" s="468">
        <f>SUM($E27*Y$25)</f>
        <v>1207455</v>
      </c>
      <c r="Z27" s="294"/>
      <c r="AA27" s="306"/>
      <c r="AB27" s="3"/>
      <c r="AC27" s="489"/>
      <c r="AD27" s="501"/>
      <c r="AE27" s="467"/>
      <c r="AF27" s="467"/>
      <c r="AG27" s="468">
        <f>SUM($E27*AG$25)</f>
        <v>214302</v>
      </c>
      <c r="AH27" s="294"/>
      <c r="AI27" s="306"/>
    </row>
    <row r="28" spans="3:35" x14ac:dyDescent="0.3">
      <c r="C28" s="547" t="s">
        <v>108</v>
      </c>
      <c r="D28" s="8"/>
      <c r="E28" s="528">
        <v>0.06</v>
      </c>
      <c r="F28" s="462"/>
      <c r="G28" s="499"/>
      <c r="H28" s="499"/>
      <c r="I28" s="468">
        <f t="shared" ref="I28:I33" si="2">SUM(E28*$I$25)</f>
        <v>139044</v>
      </c>
      <c r="J28" s="271"/>
      <c r="K28" s="451"/>
      <c r="L28" s="4"/>
      <c r="M28" s="489"/>
      <c r="N28" s="501"/>
      <c r="O28" s="467"/>
      <c r="P28" s="467"/>
      <c r="Q28" s="468">
        <f t="shared" ref="Q28:Q34" si="3">SUM($E28*Q$25)</f>
        <v>2624886</v>
      </c>
      <c r="R28" s="294"/>
      <c r="S28" s="553"/>
      <c r="T28" s="4"/>
      <c r="U28" s="489"/>
      <c r="V28" s="501"/>
      <c r="W28" s="467"/>
      <c r="X28" s="467"/>
      <c r="Y28" s="468">
        <f t="shared" ref="Y28:Y33" si="4">SUM($E28*Y$25)</f>
        <v>2414910</v>
      </c>
      <c r="Z28" s="294"/>
      <c r="AA28" s="306"/>
      <c r="AB28" s="3"/>
      <c r="AC28" s="489"/>
      <c r="AD28" s="501"/>
      <c r="AE28" s="467"/>
      <c r="AF28" s="467"/>
      <c r="AG28" s="468">
        <f>SUM($E28*AG$25)</f>
        <v>428604</v>
      </c>
      <c r="AH28" s="294"/>
      <c r="AI28" s="306"/>
    </row>
    <row r="29" spans="3:35" x14ac:dyDescent="0.3">
      <c r="C29" s="547" t="s">
        <v>115</v>
      </c>
      <c r="D29" s="9"/>
      <c r="E29" s="529">
        <v>0.03</v>
      </c>
      <c r="F29" s="463"/>
      <c r="G29" s="519"/>
      <c r="H29" s="519"/>
      <c r="I29" s="468">
        <f t="shared" si="2"/>
        <v>69522</v>
      </c>
      <c r="J29" s="3"/>
      <c r="K29" s="450"/>
      <c r="L29" s="4"/>
      <c r="M29" s="489"/>
      <c r="N29" s="501"/>
      <c r="O29" s="467"/>
      <c r="P29" s="467"/>
      <c r="Q29" s="468">
        <f t="shared" si="3"/>
        <v>1312443</v>
      </c>
      <c r="R29" s="294"/>
      <c r="S29" s="553"/>
      <c r="T29" s="4"/>
      <c r="U29" s="489"/>
      <c r="V29" s="501"/>
      <c r="W29" s="467"/>
      <c r="X29" s="467"/>
      <c r="Y29" s="468">
        <f t="shared" si="4"/>
        <v>1207455</v>
      </c>
      <c r="Z29" s="294"/>
      <c r="AA29" s="306"/>
      <c r="AB29" s="3"/>
      <c r="AC29" s="489"/>
      <c r="AD29" s="501"/>
      <c r="AE29" s="467"/>
      <c r="AF29" s="467"/>
      <c r="AG29" s="468">
        <f t="shared" ref="AG29:AG34" si="5">SUM($E29*AG$25)</f>
        <v>214302</v>
      </c>
      <c r="AH29" s="294"/>
      <c r="AI29" s="306"/>
    </row>
    <row r="30" spans="3:35" s="2" customFormat="1" x14ac:dyDescent="0.3">
      <c r="C30" s="547" t="s">
        <v>116</v>
      </c>
      <c r="D30" s="9"/>
      <c r="E30" s="529">
        <v>0.01</v>
      </c>
      <c r="F30" s="463"/>
      <c r="G30" s="519"/>
      <c r="H30" s="519"/>
      <c r="I30" s="468">
        <f t="shared" si="2"/>
        <v>23174</v>
      </c>
      <c r="J30" s="4"/>
      <c r="K30" s="291"/>
      <c r="L30" s="4"/>
      <c r="M30" s="489"/>
      <c r="N30" s="501"/>
      <c r="O30" s="502"/>
      <c r="P30" s="467"/>
      <c r="Q30" s="468">
        <f t="shared" si="3"/>
        <v>437481</v>
      </c>
      <c r="R30" s="294"/>
      <c r="S30" s="553"/>
      <c r="T30" s="4"/>
      <c r="U30" s="489"/>
      <c r="V30" s="501"/>
      <c r="W30" s="502"/>
      <c r="X30" s="467"/>
      <c r="Y30" s="468">
        <f t="shared" si="4"/>
        <v>402485</v>
      </c>
      <c r="Z30" s="294"/>
      <c r="AA30" s="306"/>
      <c r="AB30" s="4"/>
      <c r="AC30" s="489"/>
      <c r="AD30" s="501"/>
      <c r="AE30" s="502"/>
      <c r="AF30" s="467"/>
      <c r="AG30" s="468">
        <f t="shared" si="5"/>
        <v>71434</v>
      </c>
      <c r="AH30" s="294"/>
      <c r="AI30" s="306"/>
    </row>
    <row r="31" spans="3:35" x14ac:dyDescent="0.3">
      <c r="C31" s="547" t="s">
        <v>117</v>
      </c>
      <c r="D31" s="8"/>
      <c r="E31" s="528">
        <v>0.01</v>
      </c>
      <c r="F31" s="462"/>
      <c r="G31" s="499"/>
      <c r="H31" s="499"/>
      <c r="I31" s="468">
        <f t="shared" si="2"/>
        <v>23174</v>
      </c>
      <c r="J31" s="271"/>
      <c r="K31" s="451"/>
      <c r="L31" s="4"/>
      <c r="M31" s="489"/>
      <c r="N31" s="501"/>
      <c r="O31" s="467"/>
      <c r="P31" s="467"/>
      <c r="Q31" s="468">
        <f t="shared" si="3"/>
        <v>437481</v>
      </c>
      <c r="R31" s="294"/>
      <c r="S31" s="553"/>
      <c r="T31" s="4"/>
      <c r="U31" s="489"/>
      <c r="V31" s="501"/>
      <c r="W31" s="467"/>
      <c r="X31" s="467"/>
      <c r="Y31" s="468">
        <f t="shared" si="4"/>
        <v>402485</v>
      </c>
      <c r="Z31" s="294"/>
      <c r="AA31" s="306"/>
      <c r="AB31" s="3"/>
      <c r="AC31" s="489"/>
      <c r="AD31" s="501"/>
      <c r="AE31" s="467"/>
      <c r="AF31" s="467"/>
      <c r="AG31" s="468">
        <f t="shared" si="5"/>
        <v>71434</v>
      </c>
      <c r="AH31" s="294"/>
      <c r="AI31" s="306"/>
    </row>
    <row r="32" spans="3:35" x14ac:dyDescent="0.3">
      <c r="C32" s="547" t="s">
        <v>118</v>
      </c>
      <c r="D32" s="8"/>
      <c r="E32" s="528">
        <v>7.4999999999999997E-2</v>
      </c>
      <c r="F32" s="462"/>
      <c r="G32" s="499"/>
      <c r="H32" s="499"/>
      <c r="I32" s="468">
        <f t="shared" si="2"/>
        <v>173805</v>
      </c>
      <c r="J32" s="271"/>
      <c r="K32" s="451"/>
      <c r="L32" s="4"/>
      <c r="M32" s="489"/>
      <c r="N32" s="501"/>
      <c r="O32" s="467"/>
      <c r="P32" s="467"/>
      <c r="Q32" s="468">
        <f t="shared" si="3"/>
        <v>3281107.5</v>
      </c>
      <c r="R32" s="294"/>
      <c r="S32" s="553"/>
      <c r="T32" s="4"/>
      <c r="U32" s="489"/>
      <c r="V32" s="501"/>
      <c r="W32" s="467"/>
      <c r="X32" s="467"/>
      <c r="Y32" s="468">
        <f t="shared" si="4"/>
        <v>3018637.5</v>
      </c>
      <c r="Z32" s="294"/>
      <c r="AA32" s="306"/>
      <c r="AB32" s="3"/>
      <c r="AC32" s="489"/>
      <c r="AD32" s="501"/>
      <c r="AE32" s="467"/>
      <c r="AF32" s="467"/>
      <c r="AG32" s="468">
        <f t="shared" si="5"/>
        <v>535755</v>
      </c>
      <c r="AH32" s="294"/>
      <c r="AI32" s="306"/>
    </row>
    <row r="33" spans="3:35" x14ac:dyDescent="0.3">
      <c r="C33" s="547" t="s">
        <v>119</v>
      </c>
      <c r="D33" s="8"/>
      <c r="E33" s="528">
        <v>8.0000000000000002E-3</v>
      </c>
      <c r="F33" s="462"/>
      <c r="G33" s="499"/>
      <c r="H33" s="499"/>
      <c r="I33" s="468">
        <f t="shared" si="2"/>
        <v>18539.2</v>
      </c>
      <c r="J33" s="271"/>
      <c r="K33" s="452" t="s">
        <v>209</v>
      </c>
      <c r="L33" s="4"/>
      <c r="M33" s="489"/>
      <c r="N33" s="501"/>
      <c r="O33" s="467"/>
      <c r="P33" s="467"/>
      <c r="Q33" s="468">
        <f t="shared" si="3"/>
        <v>349984.8</v>
      </c>
      <c r="R33" s="294"/>
      <c r="S33" s="553"/>
      <c r="T33" s="4"/>
      <c r="U33" s="489"/>
      <c r="V33" s="501"/>
      <c r="W33" s="467"/>
      <c r="X33" s="467"/>
      <c r="Y33" s="468">
        <f t="shared" si="4"/>
        <v>321988</v>
      </c>
      <c r="Z33" s="294"/>
      <c r="AA33" s="306"/>
      <c r="AB33" s="3"/>
      <c r="AC33" s="489"/>
      <c r="AD33" s="501"/>
      <c r="AE33" s="467"/>
      <c r="AF33" s="467"/>
      <c r="AG33" s="468">
        <f t="shared" si="5"/>
        <v>57147.200000000004</v>
      </c>
      <c r="AH33" s="294"/>
      <c r="AI33" s="306"/>
    </row>
    <row r="34" spans="3:35" x14ac:dyDescent="0.3">
      <c r="C34" s="547" t="s">
        <v>123</v>
      </c>
      <c r="D34" s="8"/>
      <c r="E34" s="529">
        <v>0.01</v>
      </c>
      <c r="F34" s="462"/>
      <c r="G34" s="499"/>
      <c r="H34" s="499"/>
      <c r="I34" s="468">
        <f>SUM(E34*$I$25)</f>
        <v>23174</v>
      </c>
      <c r="J34" s="271"/>
      <c r="K34" s="451"/>
      <c r="L34" s="4"/>
      <c r="M34" s="489"/>
      <c r="N34" s="501"/>
      <c r="O34" s="467"/>
      <c r="P34" s="467"/>
      <c r="Q34" s="468">
        <f t="shared" si="3"/>
        <v>437481</v>
      </c>
      <c r="R34" s="294"/>
      <c r="S34" s="553"/>
      <c r="T34" s="4"/>
      <c r="U34" s="489"/>
      <c r="V34" s="501"/>
      <c r="W34" s="467"/>
      <c r="X34" s="467"/>
      <c r="Y34" s="468">
        <f>SUM($E34*Y$25)</f>
        <v>402485</v>
      </c>
      <c r="Z34" s="294"/>
      <c r="AA34" s="306"/>
      <c r="AB34" s="3"/>
      <c r="AC34" s="489"/>
      <c r="AD34" s="501"/>
      <c r="AE34" s="467"/>
      <c r="AF34" s="467"/>
      <c r="AG34" s="468">
        <f t="shared" si="5"/>
        <v>71434</v>
      </c>
      <c r="AH34" s="294"/>
      <c r="AI34" s="306"/>
    </row>
    <row r="35" spans="3:35" x14ac:dyDescent="0.3">
      <c r="C35" s="548" t="s">
        <v>193</v>
      </c>
      <c r="D35" s="8"/>
      <c r="E35" s="529"/>
      <c r="F35" s="462"/>
      <c r="G35" s="499"/>
      <c r="H35" s="499"/>
      <c r="I35" s="466">
        <f>ROUNDUP(SUM(I27:I34), -2)</f>
        <v>540000</v>
      </c>
      <c r="J35" s="271"/>
      <c r="K35" s="451"/>
      <c r="L35" s="4"/>
      <c r="M35" s="489"/>
      <c r="N35" s="501"/>
      <c r="O35" s="467"/>
      <c r="P35" s="467"/>
      <c r="Q35" s="476">
        <f>ROUND(SUM(Q27:Q34), -2)</f>
        <v>10193300</v>
      </c>
      <c r="R35" s="294"/>
      <c r="S35" s="553"/>
      <c r="T35" s="4"/>
      <c r="U35" s="489"/>
      <c r="V35" s="501"/>
      <c r="W35" s="467"/>
      <c r="X35" s="467"/>
      <c r="Y35" s="476">
        <f>ROUND(SUM(Y27:Y34), -2)</f>
        <v>9377900</v>
      </c>
      <c r="Z35" s="294"/>
      <c r="AA35" s="306"/>
      <c r="AB35" s="3"/>
      <c r="AC35" s="489"/>
      <c r="AD35" s="501"/>
      <c r="AE35" s="467"/>
      <c r="AF35" s="467"/>
      <c r="AG35" s="476">
        <f>ROUND(SUM(AG27:AG34), -2)</f>
        <v>1664400</v>
      </c>
      <c r="AH35" s="294"/>
      <c r="AI35" s="306"/>
    </row>
    <row r="36" spans="3:35" x14ac:dyDescent="0.3">
      <c r="C36" s="545" t="s">
        <v>175</v>
      </c>
      <c r="D36" s="9"/>
      <c r="E36" s="530"/>
      <c r="F36" s="463"/>
      <c r="G36" s="519"/>
      <c r="H36" s="519"/>
      <c r="I36" s="469">
        <f>SUM(I35+I25)</f>
        <v>2857400</v>
      </c>
      <c r="J36" s="271"/>
      <c r="K36" s="451"/>
      <c r="L36" s="4"/>
      <c r="M36" s="483"/>
      <c r="N36" s="467"/>
      <c r="O36" s="467"/>
      <c r="P36" s="467"/>
      <c r="Q36" s="469">
        <f>SUM(Q35+Q25)</f>
        <v>53941400</v>
      </c>
      <c r="R36" s="295"/>
      <c r="S36" s="553"/>
      <c r="T36" s="4"/>
      <c r="U36" s="483"/>
      <c r="V36" s="467"/>
      <c r="W36" s="467"/>
      <c r="X36" s="467"/>
      <c r="Y36" s="469">
        <f>SUM(Y35+Y25)</f>
        <v>49626400</v>
      </c>
      <c r="Z36" s="295"/>
      <c r="AA36" s="306"/>
      <c r="AB36" s="3"/>
      <c r="AC36" s="483"/>
      <c r="AD36" s="467"/>
      <c r="AE36" s="467"/>
      <c r="AF36" s="467"/>
      <c r="AG36" s="469">
        <f>SUM(AG35+AG25)</f>
        <v>8807800</v>
      </c>
      <c r="AH36" s="295"/>
      <c r="AI36" s="306"/>
    </row>
    <row r="37" spans="3:35" s="24" customFormat="1" ht="15.5" x14ac:dyDescent="0.35">
      <c r="C37" s="549"/>
      <c r="D37" s="8"/>
      <c r="E37" s="531"/>
      <c r="F37" s="462"/>
      <c r="G37" s="499"/>
      <c r="H37" s="499"/>
      <c r="I37" s="462"/>
      <c r="J37" s="252"/>
      <c r="K37" s="452"/>
      <c r="L37" s="283"/>
      <c r="M37" s="483"/>
      <c r="N37" s="467"/>
      <c r="O37" s="243"/>
      <c r="P37" s="243"/>
      <c r="Q37" s="462"/>
      <c r="R37" s="283"/>
      <c r="S37" s="560"/>
      <c r="T37" s="283"/>
      <c r="U37" s="483"/>
      <c r="V37" s="467"/>
      <c r="W37" s="243"/>
      <c r="X37" s="243"/>
      <c r="Y37" s="462"/>
      <c r="Z37" s="283"/>
      <c r="AA37" s="307"/>
      <c r="AB37" s="283"/>
      <c r="AC37" s="483"/>
      <c r="AD37" s="467"/>
      <c r="AE37" s="243"/>
      <c r="AF37" s="243"/>
      <c r="AG37" s="462"/>
      <c r="AH37" s="283"/>
      <c r="AI37" s="307"/>
    </row>
    <row r="38" spans="3:35" x14ac:dyDescent="0.3">
      <c r="C38" s="543" t="s">
        <v>121</v>
      </c>
      <c r="D38" s="8"/>
      <c r="E38" s="531"/>
      <c r="F38" s="462"/>
      <c r="G38" s="499"/>
      <c r="H38" s="499"/>
      <c r="I38" s="462"/>
      <c r="J38" s="271"/>
      <c r="K38" s="451"/>
      <c r="L38" s="4"/>
      <c r="M38" s="483"/>
      <c r="N38" s="467"/>
      <c r="O38" s="467"/>
      <c r="P38" s="467"/>
      <c r="Q38" s="462"/>
      <c r="R38" s="4"/>
      <c r="S38" s="553"/>
      <c r="T38" s="4"/>
      <c r="U38" s="483"/>
      <c r="V38" s="467"/>
      <c r="W38" s="467"/>
      <c r="X38" s="467"/>
      <c r="Y38" s="462"/>
      <c r="Z38" s="4"/>
      <c r="AA38" s="306"/>
      <c r="AB38" s="3"/>
      <c r="AC38" s="483"/>
      <c r="AD38" s="467"/>
      <c r="AE38" s="467"/>
      <c r="AF38" s="467"/>
      <c r="AG38" s="462"/>
      <c r="AH38" s="4"/>
      <c r="AI38" s="306"/>
    </row>
    <row r="39" spans="3:35" s="6" customFormat="1" ht="39.5" thickBot="1" x14ac:dyDescent="0.35">
      <c r="C39" s="544" t="s">
        <v>109</v>
      </c>
      <c r="D39" s="251"/>
      <c r="E39" s="528">
        <v>0.03</v>
      </c>
      <c r="F39" s="462"/>
      <c r="G39" s="499"/>
      <c r="H39" s="499"/>
      <c r="I39" s="462">
        <f>ROUNDUP(I$36*E39, -2)</f>
        <v>85800</v>
      </c>
      <c r="J39" s="297"/>
      <c r="K39" s="298" t="s">
        <v>147</v>
      </c>
      <c r="L39" s="302"/>
      <c r="M39" s="489">
        <v>0.01</v>
      </c>
      <c r="N39" s="501"/>
      <c r="O39" s="467"/>
      <c r="P39" s="467"/>
      <c r="Q39" s="462">
        <f>ROUNDUP(Q$36*M39, -2)</f>
        <v>539500</v>
      </c>
      <c r="R39" s="296"/>
      <c r="S39" s="561"/>
      <c r="T39" s="302"/>
      <c r="U39" s="489">
        <v>0.01</v>
      </c>
      <c r="V39" s="501"/>
      <c r="W39" s="467"/>
      <c r="X39" s="467"/>
      <c r="Y39" s="462">
        <f>ROUNDUP(Y$36*U39, -2)</f>
        <v>496300</v>
      </c>
      <c r="Z39" s="296"/>
      <c r="AA39" s="308"/>
      <c r="AB39" s="311"/>
      <c r="AC39" s="489">
        <v>0.01</v>
      </c>
      <c r="AD39" s="501"/>
      <c r="AE39" s="467"/>
      <c r="AF39" s="467"/>
      <c r="AG39" s="462">
        <f>ROUNDUP(AG$36*AC39, -2)</f>
        <v>88100</v>
      </c>
      <c r="AH39" s="296"/>
      <c r="AI39" s="308"/>
    </row>
    <row r="40" spans="3:35" ht="26.5" thickBot="1" x14ac:dyDescent="0.35">
      <c r="C40" s="544" t="s">
        <v>142</v>
      </c>
      <c r="D40" s="8"/>
      <c r="E40" s="529">
        <v>0.125</v>
      </c>
      <c r="F40" s="462"/>
      <c r="G40" s="499"/>
      <c r="H40" s="499"/>
      <c r="I40" s="462">
        <f>ROUNDUP($I$36*E40, -2)</f>
        <v>357200</v>
      </c>
      <c r="J40" s="271"/>
      <c r="K40" s="450" t="s">
        <v>149</v>
      </c>
      <c r="L40" s="4"/>
      <c r="M40" s="490">
        <v>0.05</v>
      </c>
      <c r="N40" s="503"/>
      <c r="O40" s="467"/>
      <c r="P40" s="467"/>
      <c r="Q40" s="462">
        <f>ROUNDUP(Q$36*M40, -2)</f>
        <v>2697100</v>
      </c>
      <c r="R40" s="252"/>
      <c r="S40" s="562" t="s">
        <v>149</v>
      </c>
      <c r="T40" s="4"/>
      <c r="U40" s="490">
        <v>0.05</v>
      </c>
      <c r="V40" s="503"/>
      <c r="W40" s="467"/>
      <c r="X40" s="467"/>
      <c r="Y40" s="462">
        <f>ROUNDUP(Y$36*U40, -2)</f>
        <v>2481400</v>
      </c>
      <c r="Z40" s="252"/>
      <c r="AA40" s="309" t="s">
        <v>149</v>
      </c>
      <c r="AB40" s="3"/>
      <c r="AC40" s="490">
        <v>7.4999999999999997E-2</v>
      </c>
      <c r="AD40" s="503"/>
      <c r="AE40" s="467"/>
      <c r="AF40" s="467"/>
      <c r="AG40" s="462">
        <f>ROUNDUP(AG$36*AC40, -2)</f>
        <v>660600</v>
      </c>
      <c r="AH40" s="252"/>
      <c r="AI40" s="309" t="s">
        <v>149</v>
      </c>
    </row>
    <row r="41" spans="3:35" x14ac:dyDescent="0.3">
      <c r="C41" s="544" t="s">
        <v>111</v>
      </c>
      <c r="D41" s="8"/>
      <c r="E41" s="528">
        <v>0.03</v>
      </c>
      <c r="F41" s="462"/>
      <c r="G41" s="499"/>
      <c r="H41" s="499"/>
      <c r="I41" s="462">
        <f>ROUNDUP($I$36*E41, -2)</f>
        <v>85800</v>
      </c>
      <c r="J41" s="271"/>
      <c r="K41" s="452"/>
      <c r="L41" s="4"/>
      <c r="M41" s="489">
        <f>$E41</f>
        <v>0.03</v>
      </c>
      <c r="N41" s="501"/>
      <c r="O41" s="467"/>
      <c r="P41" s="467"/>
      <c r="Q41" s="462">
        <f>ROUNDUP(Q$36*M41, -2)</f>
        <v>1618300</v>
      </c>
      <c r="R41" s="252"/>
      <c r="S41" s="553"/>
      <c r="T41" s="4"/>
      <c r="U41" s="489">
        <f>$E41</f>
        <v>0.03</v>
      </c>
      <c r="V41" s="501"/>
      <c r="W41" s="467"/>
      <c r="X41" s="467"/>
      <c r="Y41" s="462">
        <f>ROUNDUP(Y$36*U41, -2)</f>
        <v>1488800</v>
      </c>
      <c r="Z41" s="252"/>
      <c r="AA41" s="306"/>
      <c r="AB41" s="3"/>
      <c r="AC41" s="489">
        <f>$E41</f>
        <v>0.03</v>
      </c>
      <c r="AD41" s="501"/>
      <c r="AE41" s="467"/>
      <c r="AF41" s="467"/>
      <c r="AG41" s="462">
        <f>ROUNDUP(AG$36*AC41, -2)</f>
        <v>264300</v>
      </c>
      <c r="AH41" s="252"/>
      <c r="AI41" s="306"/>
    </row>
    <row r="42" spans="3:35" ht="14.5" thickBot="1" x14ac:dyDescent="0.35">
      <c r="C42" s="544" t="s">
        <v>122</v>
      </c>
      <c r="D42" s="8"/>
      <c r="E42" s="491">
        <v>100000</v>
      </c>
      <c r="F42" s="462"/>
      <c r="G42" s="499"/>
      <c r="H42" s="499"/>
      <c r="I42" s="462">
        <f>E42</f>
        <v>100000</v>
      </c>
      <c r="J42" s="271"/>
      <c r="K42" s="452" t="s">
        <v>148</v>
      </c>
      <c r="L42" s="4"/>
      <c r="M42" s="491">
        <v>20000</v>
      </c>
      <c r="N42" s="501"/>
      <c r="O42" s="467"/>
      <c r="P42" s="467"/>
      <c r="Q42" s="462">
        <f>M42</f>
        <v>20000</v>
      </c>
      <c r="R42" s="252"/>
      <c r="S42" s="553" t="s">
        <v>150</v>
      </c>
      <c r="T42" s="4"/>
      <c r="U42" s="491">
        <v>20000</v>
      </c>
      <c r="V42" s="501"/>
      <c r="W42" s="467"/>
      <c r="X42" s="467"/>
      <c r="Y42" s="462">
        <f>U42</f>
        <v>20000</v>
      </c>
      <c r="Z42" s="252"/>
      <c r="AA42" s="306" t="s">
        <v>150</v>
      </c>
      <c r="AB42" s="3"/>
      <c r="AC42" s="491">
        <v>20000</v>
      </c>
      <c r="AD42" s="501"/>
      <c r="AE42" s="467"/>
      <c r="AF42" s="467"/>
      <c r="AG42" s="462">
        <f>AC42</f>
        <v>20000</v>
      </c>
      <c r="AH42" s="252"/>
      <c r="AI42" s="306" t="s">
        <v>150</v>
      </c>
    </row>
    <row r="43" spans="3:35" ht="14.5" thickBot="1" x14ac:dyDescent="0.35">
      <c r="C43" s="544" t="s">
        <v>227</v>
      </c>
      <c r="D43" s="8"/>
      <c r="E43" s="529">
        <v>0.05</v>
      </c>
      <c r="F43" s="462"/>
      <c r="G43" s="499"/>
      <c r="H43" s="499"/>
      <c r="I43" s="462">
        <f>ROUNDUP($I$36*E43, -2)</f>
        <v>142900</v>
      </c>
      <c r="J43" s="271"/>
      <c r="K43" s="450"/>
      <c r="L43" s="4"/>
      <c r="M43" s="490">
        <v>0.05</v>
      </c>
      <c r="N43" s="503"/>
      <c r="O43" s="467"/>
      <c r="P43" s="467"/>
      <c r="Q43" s="462">
        <f>ROUNDUP(Q$36*M43, -2)</f>
        <v>2697100</v>
      </c>
      <c r="R43" s="252"/>
      <c r="S43" s="562"/>
      <c r="T43" s="4"/>
      <c r="U43" s="490">
        <v>0.05</v>
      </c>
      <c r="V43" s="503"/>
      <c r="W43" s="467"/>
      <c r="X43" s="467"/>
      <c r="Y43" s="462">
        <f>ROUNDUP(Y$36*U43, -2)</f>
        <v>2481400</v>
      </c>
      <c r="Z43" s="252"/>
      <c r="AA43" s="309"/>
      <c r="AB43" s="3"/>
      <c r="AC43" s="490">
        <v>0.05</v>
      </c>
      <c r="AD43" s="503"/>
      <c r="AE43" s="467"/>
      <c r="AF43" s="467"/>
      <c r="AG43" s="462">
        <f>ROUNDUP(AG$36*AC43, -2)</f>
        <v>440400</v>
      </c>
      <c r="AH43" s="252"/>
      <c r="AI43" s="309"/>
    </row>
    <row r="44" spans="3:35" x14ac:dyDescent="0.3">
      <c r="C44" s="547" t="s">
        <v>112</v>
      </c>
      <c r="D44" s="8"/>
      <c r="E44" s="528">
        <v>0.02</v>
      </c>
      <c r="F44" s="462"/>
      <c r="G44" s="499"/>
      <c r="H44" s="499"/>
      <c r="I44" s="462">
        <f>ROUNDUP($I$36*E44, -2)</f>
        <v>57200</v>
      </c>
      <c r="J44" s="271"/>
      <c r="K44" s="452"/>
      <c r="L44" s="252"/>
      <c r="M44" s="489">
        <v>0.04</v>
      </c>
      <c r="N44" s="501"/>
      <c r="O44" s="467"/>
      <c r="P44" s="467"/>
      <c r="Q44" s="462">
        <f>ROUNDUP(Q$36*M44, -2)</f>
        <v>2157700</v>
      </c>
      <c r="R44" s="252"/>
      <c r="S44" s="553"/>
      <c r="T44" s="4"/>
      <c r="U44" s="489">
        <v>0.04</v>
      </c>
      <c r="V44" s="501"/>
      <c r="W44" s="467"/>
      <c r="X44" s="467"/>
      <c r="Y44" s="462">
        <f>ROUNDUP(Y$36*U44, -2)</f>
        <v>1985100</v>
      </c>
      <c r="Z44" s="252"/>
      <c r="AA44" s="306"/>
      <c r="AB44" s="3"/>
      <c r="AC44" s="489">
        <v>0.04</v>
      </c>
      <c r="AD44" s="501"/>
      <c r="AE44" s="467"/>
      <c r="AF44" s="467"/>
      <c r="AG44" s="462">
        <f>ROUNDUP(AG$36*AC44, -2)</f>
        <v>352400</v>
      </c>
      <c r="AH44" s="252"/>
      <c r="AI44" s="306"/>
    </row>
    <row r="45" spans="3:35" x14ac:dyDescent="0.3">
      <c r="C45" s="545" t="s">
        <v>176</v>
      </c>
      <c r="D45" s="10"/>
      <c r="E45" s="532"/>
      <c r="F45" s="533"/>
      <c r="G45" s="534"/>
      <c r="H45" s="534"/>
      <c r="I45" s="469">
        <f>SUM(I39:I44)</f>
        <v>828900</v>
      </c>
      <c r="J45" s="271"/>
      <c r="K45" s="451"/>
      <c r="L45" s="4"/>
      <c r="M45" s="483"/>
      <c r="N45" s="467"/>
      <c r="O45" s="467"/>
      <c r="P45" s="467"/>
      <c r="Q45" s="469">
        <f>ROUND(SUM(Q39:Q44), -2)</f>
        <v>9729700</v>
      </c>
      <c r="R45" s="295"/>
      <c r="S45" s="553"/>
      <c r="T45" s="4"/>
      <c r="U45" s="483"/>
      <c r="V45" s="467"/>
      <c r="W45" s="467"/>
      <c r="X45" s="467"/>
      <c r="Y45" s="469">
        <f>ROUND(SUM(Y39:Y44), -2)</f>
        <v>8953000</v>
      </c>
      <c r="Z45" s="295"/>
      <c r="AA45" s="306"/>
      <c r="AB45" s="3"/>
      <c r="AC45" s="483"/>
      <c r="AD45" s="467"/>
      <c r="AE45" s="467"/>
      <c r="AF45" s="467"/>
      <c r="AG45" s="469">
        <f>ROUND(SUM(AG39:AG44), -2)</f>
        <v>1825800</v>
      </c>
      <c r="AH45" s="295"/>
      <c r="AI45" s="306"/>
    </row>
    <row r="46" spans="3:35" ht="15.5" x14ac:dyDescent="0.35">
      <c r="C46" s="549"/>
      <c r="D46" s="8"/>
      <c r="E46" s="486"/>
      <c r="F46" s="462"/>
      <c r="G46" s="499"/>
      <c r="H46" s="499"/>
      <c r="I46" s="462"/>
      <c r="J46" s="271"/>
      <c r="K46" s="451"/>
      <c r="L46" s="4"/>
      <c r="M46" s="483"/>
      <c r="N46" s="467"/>
      <c r="O46" s="467"/>
      <c r="P46" s="467"/>
      <c r="Q46" s="462"/>
      <c r="R46" s="252"/>
      <c r="S46" s="553"/>
      <c r="T46" s="4"/>
      <c r="U46" s="483"/>
      <c r="V46" s="467"/>
      <c r="W46" s="467"/>
      <c r="X46" s="467"/>
      <c r="Y46" s="462"/>
      <c r="Z46" s="252"/>
      <c r="AA46" s="306"/>
      <c r="AB46" s="3"/>
      <c r="AC46" s="483"/>
      <c r="AD46" s="467"/>
      <c r="AE46" s="467"/>
      <c r="AF46" s="467"/>
      <c r="AG46" s="462"/>
      <c r="AH46" s="252"/>
      <c r="AI46" s="306"/>
    </row>
    <row r="47" spans="3:35" ht="15.5" x14ac:dyDescent="0.35">
      <c r="C47" s="542" t="s">
        <v>178</v>
      </c>
      <c r="D47" s="21"/>
      <c r="E47" s="535"/>
      <c r="F47" s="470"/>
      <c r="G47" s="536"/>
      <c r="H47" s="536"/>
      <c r="I47" s="470">
        <f>SUM(I36+I45)</f>
        <v>3686300</v>
      </c>
      <c r="J47" s="271"/>
      <c r="K47" s="451"/>
      <c r="L47" s="4"/>
      <c r="M47" s="483"/>
      <c r="N47" s="467"/>
      <c r="O47" s="97"/>
      <c r="P47" s="467"/>
      <c r="Q47" s="470">
        <f>SUM(Q36+Q45)</f>
        <v>63671100</v>
      </c>
      <c r="R47" s="21"/>
      <c r="S47" s="553"/>
      <c r="T47" s="4"/>
      <c r="U47" s="483"/>
      <c r="V47" s="467"/>
      <c r="W47" s="97"/>
      <c r="X47" s="467"/>
      <c r="Y47" s="470">
        <f>SUM(Y36+Y45)</f>
        <v>58579400</v>
      </c>
      <c r="Z47" s="21"/>
      <c r="AA47" s="306"/>
      <c r="AB47" s="3"/>
      <c r="AC47" s="483"/>
      <c r="AD47" s="467"/>
      <c r="AE47" s="97"/>
      <c r="AF47" s="467"/>
      <c r="AG47" s="470">
        <f>SUM(AG36+AG45)</f>
        <v>10633600</v>
      </c>
      <c r="AH47" s="21"/>
      <c r="AI47" s="306"/>
    </row>
    <row r="48" spans="3:35" ht="15.5" x14ac:dyDescent="0.35">
      <c r="C48" s="550"/>
      <c r="D48" s="21"/>
      <c r="E48" s="535"/>
      <c r="F48" s="470"/>
      <c r="G48" s="536"/>
      <c r="H48" s="536"/>
      <c r="I48" s="470"/>
      <c r="J48" s="271"/>
      <c r="K48" s="451"/>
      <c r="L48" s="4"/>
      <c r="M48" s="483"/>
      <c r="N48" s="467"/>
      <c r="O48" s="97"/>
      <c r="P48" s="467"/>
      <c r="Q48" s="470"/>
      <c r="R48" s="21"/>
      <c r="S48" s="553"/>
      <c r="T48" s="4"/>
      <c r="U48" s="483"/>
      <c r="V48" s="467"/>
      <c r="W48" s="97"/>
      <c r="X48" s="467"/>
      <c r="Y48" s="470"/>
      <c r="Z48" s="21"/>
      <c r="AA48" s="306"/>
      <c r="AB48" s="3"/>
      <c r="AC48" s="483"/>
      <c r="AD48" s="467"/>
      <c r="AE48" s="97"/>
      <c r="AF48" s="467"/>
      <c r="AG48" s="470"/>
      <c r="AH48" s="21"/>
      <c r="AI48" s="306"/>
    </row>
    <row r="49" spans="3:35" ht="70" x14ac:dyDescent="0.3">
      <c r="C49" s="104" t="s">
        <v>143</v>
      </c>
      <c r="D49" s="21"/>
      <c r="E49" s="299"/>
      <c r="F49" s="103"/>
      <c r="G49" s="103"/>
      <c r="H49" s="103"/>
      <c r="I49" s="103"/>
      <c r="J49" s="271"/>
      <c r="K49" s="451"/>
      <c r="L49" s="4"/>
      <c r="M49" s="483"/>
      <c r="N49" s="467"/>
      <c r="O49" s="467"/>
      <c r="P49" s="467"/>
      <c r="Q49" s="467"/>
      <c r="R49" s="4"/>
      <c r="S49" s="553"/>
      <c r="T49" s="4"/>
      <c r="U49" s="483"/>
      <c r="V49" s="467"/>
      <c r="W49" s="467"/>
      <c r="X49" s="467"/>
      <c r="Y49" s="504"/>
      <c r="Z49" s="3"/>
      <c r="AA49" s="309"/>
      <c r="AB49" s="3"/>
      <c r="AC49" s="483"/>
      <c r="AD49" s="467"/>
      <c r="AE49" s="467"/>
      <c r="AF49" s="467"/>
      <c r="AG49" s="504"/>
      <c r="AH49" s="3"/>
      <c r="AI49" s="309"/>
    </row>
    <row r="50" spans="3:35" x14ac:dyDescent="0.3">
      <c r="C50" s="551"/>
      <c r="D50" s="8"/>
      <c r="E50" s="486"/>
      <c r="F50" s="462"/>
      <c r="G50" s="499"/>
      <c r="H50" s="499"/>
      <c r="I50" s="462"/>
      <c r="J50" s="271"/>
      <c r="K50" s="451"/>
      <c r="L50" s="4"/>
      <c r="M50" s="484"/>
      <c r="N50" s="473"/>
      <c r="O50" s="473"/>
      <c r="P50" s="473"/>
      <c r="Q50" s="473"/>
      <c r="R50" s="318"/>
      <c r="S50" s="558"/>
      <c r="T50" s="4"/>
      <c r="U50" s="484"/>
      <c r="V50" s="473"/>
      <c r="W50" s="473"/>
      <c r="X50" s="473"/>
      <c r="Y50" s="505"/>
      <c r="Z50" s="322"/>
      <c r="AA50" s="323"/>
      <c r="AB50" s="3"/>
      <c r="AC50" s="484"/>
      <c r="AD50" s="473"/>
      <c r="AE50" s="473"/>
      <c r="AF50" s="473"/>
      <c r="AG50" s="505"/>
      <c r="AH50" s="322"/>
      <c r="AI50" s="323"/>
    </row>
    <row r="51" spans="3:35" s="3" customFormat="1" ht="15.5" x14ac:dyDescent="0.35">
      <c r="C51" s="542" t="s">
        <v>177</v>
      </c>
      <c r="D51" s="270"/>
      <c r="E51" s="496"/>
      <c r="F51" s="506"/>
      <c r="G51" s="507"/>
      <c r="H51" s="507"/>
      <c r="I51" s="471">
        <f>SUM(I54+I55+I53)</f>
        <v>3686300</v>
      </c>
      <c r="J51" s="317"/>
      <c r="K51" s="453"/>
      <c r="L51" s="4"/>
      <c r="M51" s="492"/>
      <c r="N51" s="512"/>
      <c r="O51" s="513"/>
      <c r="P51" s="513"/>
      <c r="Q51" s="477">
        <f>SUM(Q54+Q55+Q53)</f>
        <v>63671100</v>
      </c>
      <c r="R51" s="4"/>
      <c r="S51" s="563"/>
      <c r="T51" s="4"/>
      <c r="U51" s="496"/>
      <c r="V51" s="506"/>
      <c r="W51" s="507"/>
      <c r="X51" s="507"/>
      <c r="Y51" s="471">
        <f>SUM(Y54+Y55+Y53)</f>
        <v>58579400</v>
      </c>
      <c r="Z51" s="321"/>
      <c r="AA51" s="324"/>
      <c r="AC51" s="492"/>
      <c r="AD51" s="512"/>
      <c r="AE51" s="513"/>
      <c r="AF51" s="513"/>
      <c r="AG51" s="477">
        <f>SUM(AG54+AG55+AG53)</f>
        <v>10633600</v>
      </c>
      <c r="AI51" s="309"/>
    </row>
    <row r="52" spans="3:35" ht="15.5" x14ac:dyDescent="0.35">
      <c r="C52" s="550"/>
      <c r="D52" s="8"/>
      <c r="E52" s="486" t="s">
        <v>102</v>
      </c>
      <c r="F52" s="462"/>
      <c r="G52" s="499"/>
      <c r="H52" s="499"/>
      <c r="I52" s="462"/>
      <c r="J52" s="271"/>
      <c r="K52" s="451"/>
      <c r="L52" s="4"/>
      <c r="M52" s="486" t="s">
        <v>102</v>
      </c>
      <c r="N52" s="462"/>
      <c r="O52" s="499"/>
      <c r="P52" s="499"/>
      <c r="Q52" s="462"/>
      <c r="R52" s="4"/>
      <c r="S52" s="553"/>
      <c r="T52" s="4"/>
      <c r="U52" s="486" t="s">
        <v>102</v>
      </c>
      <c r="V52" s="462"/>
      <c r="W52" s="499"/>
      <c r="X52" s="499"/>
      <c r="Y52" s="462"/>
      <c r="Z52" s="3"/>
      <c r="AA52" s="309"/>
      <c r="AB52" s="3"/>
      <c r="AC52" s="486" t="s">
        <v>102</v>
      </c>
      <c r="AD52" s="462"/>
      <c r="AE52" s="499"/>
      <c r="AF52" s="499"/>
      <c r="AG52" s="462"/>
      <c r="AH52" s="3"/>
      <c r="AI52" s="309"/>
    </row>
    <row r="53" spans="3:35" x14ac:dyDescent="0.3">
      <c r="C53" s="544" t="s">
        <v>103</v>
      </c>
      <c r="D53" s="8"/>
      <c r="E53" s="537">
        <v>0.05</v>
      </c>
      <c r="F53" s="462"/>
      <c r="G53" s="499"/>
      <c r="H53" s="499"/>
      <c r="I53" s="462">
        <f>(I$47*E53)</f>
        <v>184315</v>
      </c>
      <c r="J53" s="271"/>
      <c r="K53" s="451"/>
      <c r="L53" s="4"/>
      <c r="M53" s="493">
        <f>'Pro-Forma'!E28</f>
        <v>0.12</v>
      </c>
      <c r="N53" s="462"/>
      <c r="O53" s="499"/>
      <c r="P53" s="499"/>
      <c r="Q53" s="462">
        <f>(Q$47*M53)</f>
        <v>7640532</v>
      </c>
      <c r="R53" s="4"/>
      <c r="S53" s="553"/>
      <c r="T53" s="4"/>
      <c r="U53" s="493">
        <f>'Pro-Forma'!E59</f>
        <v>0.15</v>
      </c>
      <c r="V53" s="462"/>
      <c r="W53" s="499"/>
      <c r="X53" s="499"/>
      <c r="Y53" s="462">
        <f>(Y$47*U53)</f>
        <v>8786910</v>
      </c>
      <c r="Z53" s="3"/>
      <c r="AA53" s="309"/>
      <c r="AB53" s="3"/>
      <c r="AC53" s="493">
        <f>'Pro-Forma'!E90</f>
        <v>0.2</v>
      </c>
      <c r="AD53" s="462"/>
      <c r="AE53" s="499"/>
      <c r="AF53" s="499"/>
      <c r="AG53" s="462">
        <f>(AG$47*AC53)</f>
        <v>2126720</v>
      </c>
      <c r="AH53" s="3"/>
      <c r="AI53" s="309"/>
    </row>
    <row r="54" spans="3:35" s="6" customFormat="1" x14ac:dyDescent="0.3">
      <c r="C54" s="544" t="s">
        <v>105</v>
      </c>
      <c r="D54" s="8"/>
      <c r="E54" s="537">
        <v>0.13</v>
      </c>
      <c r="F54" s="462"/>
      <c r="G54" s="499"/>
      <c r="H54" s="499"/>
      <c r="I54" s="462">
        <f>(I$47*E54)</f>
        <v>479219</v>
      </c>
      <c r="J54" s="300"/>
      <c r="K54" s="454"/>
      <c r="L54" s="302"/>
      <c r="M54" s="493">
        <f>'Pro-Forma'!E29</f>
        <v>7.4999999999999997E-2</v>
      </c>
      <c r="N54" s="462"/>
      <c r="O54" s="499"/>
      <c r="P54" s="499"/>
      <c r="Q54" s="462">
        <f>(Q$47*M54)</f>
        <v>4775332.5</v>
      </c>
      <c r="R54" s="302"/>
      <c r="S54" s="561"/>
      <c r="T54" s="302"/>
      <c r="U54" s="493">
        <f>'Pro-Forma'!E60</f>
        <v>0.12</v>
      </c>
      <c r="V54" s="462"/>
      <c r="W54" s="499"/>
      <c r="X54" s="499"/>
      <c r="Y54" s="462">
        <f>(Y$47*U54)</f>
        <v>7029528</v>
      </c>
      <c r="Z54" s="311"/>
      <c r="AA54" s="313"/>
      <c r="AB54" s="311"/>
      <c r="AC54" s="493">
        <f>'Pro-Forma'!E91</f>
        <v>0.32</v>
      </c>
      <c r="AD54" s="462"/>
      <c r="AE54" s="499"/>
      <c r="AF54" s="499"/>
      <c r="AG54" s="462">
        <f>(AG$47*AC54)</f>
        <v>3402752</v>
      </c>
      <c r="AH54" s="311"/>
      <c r="AI54" s="313"/>
    </row>
    <row r="55" spans="3:35" s="6" customFormat="1" ht="17.5" thickBot="1" x14ac:dyDescent="0.65">
      <c r="C55" s="544" t="s">
        <v>126</v>
      </c>
      <c r="D55" s="8"/>
      <c r="E55" s="538">
        <f>SUM(1-E54-E53)</f>
        <v>0.82</v>
      </c>
      <c r="F55" s="472"/>
      <c r="G55" s="508"/>
      <c r="H55" s="508"/>
      <c r="I55" s="472">
        <f>(I$47*E55)</f>
        <v>3022766</v>
      </c>
      <c r="J55" s="301"/>
      <c r="K55" s="386"/>
      <c r="L55" s="302"/>
      <c r="M55" s="494">
        <f>SUM(1-M54-M53)</f>
        <v>0.80500000000000005</v>
      </c>
      <c r="N55" s="472"/>
      <c r="O55" s="508"/>
      <c r="P55" s="508"/>
      <c r="Q55" s="472">
        <f>(Q$47*M55)</f>
        <v>51255235.5</v>
      </c>
      <c r="R55" s="310"/>
      <c r="S55" s="386"/>
      <c r="T55" s="302"/>
      <c r="U55" s="494">
        <f>'Pro-Forma'!E61</f>
        <v>0.73</v>
      </c>
      <c r="V55" s="472"/>
      <c r="W55" s="508"/>
      <c r="X55" s="508"/>
      <c r="Y55" s="472">
        <f>(Y$47*U55)</f>
        <v>42762962</v>
      </c>
      <c r="Z55" s="312"/>
      <c r="AA55" s="386"/>
      <c r="AB55" s="311"/>
      <c r="AC55" s="494">
        <f>'Pro-Forma'!E92</f>
        <v>0.48000000000000004</v>
      </c>
      <c r="AD55" s="514"/>
      <c r="AE55" s="515"/>
      <c r="AF55" s="515"/>
      <c r="AG55" s="472">
        <f>(AG$47*AC55)</f>
        <v>5104128</v>
      </c>
      <c r="AH55" s="314"/>
      <c r="AI55" s="386"/>
    </row>
    <row r="56" spans="3:35" s="2" customFormat="1" ht="169.5" thickBot="1" x14ac:dyDescent="0.35">
      <c r="C56" s="457"/>
      <c r="E56" s="457"/>
      <c r="F56" s="457"/>
      <c r="G56" s="539"/>
      <c r="H56" s="539"/>
      <c r="I56" s="457"/>
      <c r="K56" s="613" t="s">
        <v>173</v>
      </c>
      <c r="L56" s="4"/>
      <c r="M56" s="467"/>
      <c r="N56" s="457"/>
      <c r="O56" s="457"/>
      <c r="P56" s="457"/>
      <c r="Q56" s="457"/>
      <c r="S56" s="613" t="s">
        <v>202</v>
      </c>
      <c r="T56" s="4"/>
      <c r="U56" s="467"/>
      <c r="V56" s="457"/>
      <c r="W56" s="457"/>
      <c r="X56" s="457"/>
      <c r="Y56" s="457"/>
      <c r="AA56" s="613" t="s">
        <v>202</v>
      </c>
      <c r="AB56" s="98"/>
      <c r="AC56" s="457"/>
      <c r="AD56" s="457"/>
      <c r="AE56" s="457"/>
      <c r="AF56" s="457"/>
      <c r="AG56" s="457"/>
      <c r="AI56" s="613" t="s">
        <v>188</v>
      </c>
    </row>
    <row r="57" spans="3:35" s="3" customFormat="1" x14ac:dyDescent="0.3">
      <c r="C57" s="614"/>
      <c r="D57" s="615"/>
      <c r="E57" s="616"/>
      <c r="F57" s="616"/>
      <c r="G57" s="499"/>
      <c r="H57" s="499"/>
      <c r="I57" s="616"/>
      <c r="J57" s="271"/>
      <c r="K57" s="617"/>
      <c r="L57" s="4"/>
      <c r="M57" s="467"/>
      <c r="N57" s="467"/>
      <c r="O57" s="467"/>
      <c r="P57" s="467"/>
      <c r="Q57" s="467"/>
      <c r="R57" s="4"/>
      <c r="S57" s="618"/>
      <c r="T57" s="4"/>
      <c r="U57" s="467"/>
      <c r="V57" s="467"/>
      <c r="W57" s="467"/>
      <c r="X57" s="467"/>
      <c r="Y57" s="504"/>
      <c r="AA57" s="619"/>
      <c r="AC57" s="467"/>
      <c r="AD57" s="467"/>
      <c r="AE57" s="467"/>
      <c r="AF57" s="467"/>
      <c r="AG57" s="504"/>
      <c r="AI57" s="619"/>
    </row>
    <row r="58" spans="3:35" s="3" customFormat="1" x14ac:dyDescent="0.3">
      <c r="C58" s="614"/>
      <c r="D58" s="615"/>
      <c r="E58" s="616"/>
      <c r="F58" s="616"/>
      <c r="G58" s="499"/>
      <c r="H58" s="499"/>
      <c r="I58" s="616"/>
      <c r="J58" s="271"/>
      <c r="K58" s="617"/>
      <c r="L58" s="4"/>
      <c r="M58" s="467"/>
      <c r="N58" s="467"/>
      <c r="O58" s="467"/>
      <c r="P58" s="467"/>
      <c r="Q58" s="467"/>
      <c r="R58" s="4"/>
      <c r="S58" s="618"/>
      <c r="T58" s="4"/>
      <c r="U58" s="467"/>
      <c r="V58" s="467"/>
      <c r="W58" s="467"/>
      <c r="X58" s="467"/>
      <c r="Y58" s="504"/>
      <c r="AA58" s="619"/>
      <c r="AC58" s="467"/>
      <c r="AD58" s="467"/>
      <c r="AE58" s="467"/>
      <c r="AF58" s="467"/>
      <c r="AG58" s="504"/>
      <c r="AI58" s="619"/>
    </row>
    <row r="59" spans="3:35" s="3" customFormat="1" x14ac:dyDescent="0.3">
      <c r="C59" s="614"/>
      <c r="D59" s="620"/>
      <c r="E59" s="243"/>
      <c r="F59" s="243"/>
      <c r="G59" s="499"/>
      <c r="H59" s="499"/>
      <c r="I59" s="243"/>
      <c r="J59" s="271"/>
      <c r="K59" s="617"/>
      <c r="L59" s="4"/>
      <c r="M59" s="467"/>
      <c r="N59" s="467"/>
      <c r="O59" s="467"/>
      <c r="P59" s="467"/>
      <c r="Q59" s="467"/>
      <c r="R59" s="4"/>
      <c r="S59" s="618"/>
      <c r="T59" s="4"/>
      <c r="U59" s="467"/>
      <c r="V59" s="467"/>
      <c r="W59" s="467"/>
      <c r="X59" s="467"/>
      <c r="Y59" s="504"/>
      <c r="AA59" s="619"/>
      <c r="AC59" s="467"/>
      <c r="AD59" s="467"/>
      <c r="AE59" s="467"/>
      <c r="AF59" s="467"/>
      <c r="AG59" s="504"/>
      <c r="AI59" s="619"/>
    </row>
    <row r="60" spans="3:35" s="3" customFormat="1" x14ac:dyDescent="0.3">
      <c r="C60" s="504"/>
      <c r="D60" s="4"/>
      <c r="E60" s="467"/>
      <c r="F60" s="467"/>
      <c r="G60" s="467"/>
      <c r="H60" s="467"/>
      <c r="I60" s="467"/>
      <c r="J60" s="621"/>
      <c r="K60" s="622"/>
      <c r="L60" s="4"/>
      <c r="M60" s="467"/>
      <c r="N60" s="467"/>
      <c r="O60" s="467"/>
      <c r="P60" s="467"/>
      <c r="Q60" s="467"/>
      <c r="R60" s="4"/>
      <c r="S60" s="618"/>
      <c r="T60" s="4"/>
      <c r="U60" s="467"/>
      <c r="V60" s="467"/>
      <c r="W60" s="467"/>
      <c r="X60" s="467"/>
      <c r="Y60" s="504"/>
      <c r="AA60" s="619"/>
      <c r="AC60" s="467"/>
      <c r="AD60" s="467"/>
      <c r="AE60" s="467"/>
      <c r="AF60" s="467"/>
      <c r="AG60" s="504"/>
      <c r="AI60" s="619"/>
    </row>
    <row r="61" spans="3:35" s="629" customFormat="1" x14ac:dyDescent="0.3">
      <c r="C61" s="623"/>
      <c r="D61" s="624"/>
      <c r="E61" s="625"/>
      <c r="F61" s="625"/>
      <c r="G61" s="625"/>
      <c r="H61" s="625"/>
      <c r="I61" s="625"/>
      <c r="J61" s="626"/>
      <c r="K61" s="627"/>
      <c r="L61" s="624"/>
      <c r="M61" s="625"/>
      <c r="N61" s="625"/>
      <c r="O61" s="625"/>
      <c r="P61" s="625"/>
      <c r="Q61" s="625"/>
      <c r="R61" s="624"/>
      <c r="S61" s="628"/>
      <c r="T61" s="624"/>
      <c r="U61" s="625"/>
      <c r="V61" s="625"/>
      <c r="W61" s="625"/>
      <c r="X61" s="625"/>
      <c r="Y61" s="623"/>
      <c r="AA61" s="630"/>
      <c r="AC61" s="625"/>
      <c r="AD61" s="625"/>
      <c r="AE61" s="625"/>
      <c r="AF61" s="625"/>
      <c r="AG61" s="623"/>
      <c r="AI61" s="630"/>
    </row>
    <row r="62" spans="3:35" s="3" customFormat="1" x14ac:dyDescent="0.3">
      <c r="C62" s="504"/>
      <c r="D62" s="4"/>
      <c r="E62" s="467"/>
      <c r="F62" s="467"/>
      <c r="G62" s="467"/>
      <c r="H62" s="467"/>
      <c r="I62" s="467"/>
      <c r="J62" s="631"/>
      <c r="K62" s="632"/>
      <c r="L62" s="4"/>
      <c r="M62" s="467"/>
      <c r="N62" s="467"/>
      <c r="O62" s="467"/>
      <c r="P62" s="467"/>
      <c r="Q62" s="467"/>
      <c r="R62" s="4"/>
      <c r="S62" s="618"/>
      <c r="T62" s="4"/>
      <c r="U62" s="467"/>
      <c r="V62" s="467"/>
      <c r="W62" s="467"/>
      <c r="X62" s="467"/>
      <c r="Y62" s="504"/>
      <c r="AA62" s="619"/>
      <c r="AC62" s="467"/>
      <c r="AD62" s="467"/>
      <c r="AE62" s="467"/>
      <c r="AF62" s="467"/>
      <c r="AG62" s="504"/>
      <c r="AI62" s="619"/>
    </row>
    <row r="63" spans="3:35" s="3" customFormat="1" x14ac:dyDescent="0.3">
      <c r="C63" s="504"/>
      <c r="D63" s="4"/>
      <c r="E63" s="467"/>
      <c r="F63" s="467"/>
      <c r="G63" s="467"/>
      <c r="H63" s="467"/>
      <c r="I63" s="467"/>
      <c r="J63" s="631"/>
      <c r="K63" s="632"/>
      <c r="L63" s="4"/>
      <c r="M63" s="467"/>
      <c r="N63" s="467"/>
      <c r="O63" s="467"/>
      <c r="P63" s="467"/>
      <c r="Q63" s="467"/>
      <c r="R63" s="4"/>
      <c r="S63" s="618"/>
      <c r="T63" s="4"/>
      <c r="U63" s="467"/>
      <c r="V63" s="467"/>
      <c r="W63" s="467"/>
      <c r="X63" s="467"/>
      <c r="Y63" s="504"/>
      <c r="AA63" s="619"/>
      <c r="AC63" s="467"/>
      <c r="AD63" s="467"/>
      <c r="AE63" s="467"/>
      <c r="AF63" s="467"/>
      <c r="AG63" s="504"/>
      <c r="AI63" s="619"/>
    </row>
    <row r="64" spans="3:35" s="3" customFormat="1" x14ac:dyDescent="0.3">
      <c r="C64" s="504"/>
      <c r="D64" s="4"/>
      <c r="E64" s="467"/>
      <c r="F64" s="467"/>
      <c r="G64" s="467"/>
      <c r="H64" s="467"/>
      <c r="I64" s="467"/>
      <c r="J64" s="290"/>
      <c r="K64" s="250"/>
      <c r="L64" s="4"/>
      <c r="M64" s="467"/>
      <c r="N64" s="467"/>
      <c r="O64" s="467"/>
      <c r="P64" s="467"/>
      <c r="Q64" s="467"/>
      <c r="R64" s="4"/>
      <c r="S64" s="618"/>
      <c r="T64" s="4"/>
      <c r="U64" s="467"/>
      <c r="V64" s="467"/>
      <c r="W64" s="467"/>
      <c r="X64" s="467"/>
      <c r="Y64" s="504"/>
      <c r="AA64" s="619"/>
      <c r="AC64" s="467"/>
      <c r="AD64" s="467"/>
      <c r="AE64" s="467"/>
      <c r="AF64" s="467"/>
      <c r="AG64" s="504"/>
      <c r="AI64" s="619"/>
    </row>
    <row r="65" spans="3:35" s="3" customFormat="1" x14ac:dyDescent="0.3">
      <c r="C65" s="614"/>
      <c r="D65" s="620"/>
      <c r="E65" s="243"/>
      <c r="F65" s="243"/>
      <c r="G65" s="499"/>
      <c r="H65" s="499"/>
      <c r="I65" s="243"/>
      <c r="J65" s="290"/>
      <c r="K65" s="250"/>
      <c r="L65" s="4"/>
      <c r="M65" s="467"/>
      <c r="N65" s="467"/>
      <c r="O65" s="467"/>
      <c r="P65" s="467"/>
      <c r="Q65" s="467"/>
      <c r="R65" s="4"/>
      <c r="S65" s="618"/>
      <c r="T65" s="4"/>
      <c r="U65" s="467"/>
      <c r="V65" s="467"/>
      <c r="W65" s="467"/>
      <c r="X65" s="467"/>
      <c r="Y65" s="504"/>
      <c r="AA65" s="619"/>
      <c r="AC65" s="467"/>
      <c r="AD65" s="467"/>
      <c r="AE65" s="467"/>
      <c r="AF65" s="467"/>
      <c r="AG65" s="504"/>
      <c r="AI65" s="619"/>
    </row>
    <row r="66" spans="3:35" s="3" customFormat="1" x14ac:dyDescent="0.3">
      <c r="C66" s="504"/>
      <c r="D66" s="4"/>
      <c r="E66" s="467"/>
      <c r="F66" s="467"/>
      <c r="G66" s="527"/>
      <c r="H66" s="527"/>
      <c r="I66" s="467"/>
      <c r="K66" s="633"/>
      <c r="L66" s="4"/>
      <c r="M66" s="467"/>
      <c r="N66" s="467"/>
      <c r="O66" s="467"/>
      <c r="P66" s="467"/>
      <c r="Q66" s="467"/>
      <c r="R66" s="4"/>
      <c r="S66" s="618"/>
      <c r="T66" s="4"/>
      <c r="U66" s="467"/>
      <c r="V66" s="467"/>
      <c r="W66" s="467"/>
      <c r="X66" s="467"/>
      <c r="Y66" s="504"/>
      <c r="AA66" s="619"/>
      <c r="AC66" s="467"/>
      <c r="AD66" s="467"/>
      <c r="AE66" s="467"/>
      <c r="AF66" s="467"/>
      <c r="AG66" s="504"/>
      <c r="AI66" s="619"/>
    </row>
    <row r="67" spans="3:35" s="3" customFormat="1" x14ac:dyDescent="0.3">
      <c r="C67" s="504"/>
      <c r="D67" s="4"/>
      <c r="E67" s="467"/>
      <c r="F67" s="467"/>
      <c r="G67" s="527"/>
      <c r="H67" s="527"/>
      <c r="I67" s="467"/>
      <c r="K67" s="633"/>
      <c r="L67" s="4"/>
      <c r="M67" s="467"/>
      <c r="N67" s="467"/>
      <c r="O67" s="467"/>
      <c r="P67" s="467"/>
      <c r="Q67" s="467"/>
      <c r="R67" s="4"/>
      <c r="S67" s="618"/>
      <c r="T67" s="4"/>
      <c r="U67" s="467"/>
      <c r="V67" s="467"/>
      <c r="W67" s="467"/>
      <c r="X67" s="467"/>
      <c r="Y67" s="504"/>
      <c r="AA67" s="619"/>
      <c r="AC67" s="467"/>
      <c r="AD67" s="467"/>
      <c r="AE67" s="467"/>
      <c r="AF67" s="467"/>
      <c r="AG67" s="504"/>
      <c r="AI67" s="619"/>
    </row>
    <row r="68" spans="3:35" s="3" customFormat="1" x14ac:dyDescent="0.3">
      <c r="C68" s="504"/>
      <c r="D68" s="4"/>
      <c r="E68" s="467"/>
      <c r="F68" s="467"/>
      <c r="G68" s="527"/>
      <c r="H68" s="527"/>
      <c r="I68" s="467"/>
      <c r="K68" s="633"/>
      <c r="L68" s="4"/>
      <c r="M68" s="467"/>
      <c r="N68" s="467"/>
      <c r="O68" s="467"/>
      <c r="P68" s="467"/>
      <c r="Q68" s="467"/>
      <c r="R68" s="4"/>
      <c r="S68" s="618"/>
      <c r="T68" s="4"/>
      <c r="U68" s="467"/>
      <c r="V68" s="467"/>
      <c r="W68" s="467"/>
      <c r="X68" s="467"/>
      <c r="Y68" s="504"/>
      <c r="AA68" s="619"/>
      <c r="AC68" s="467"/>
      <c r="AD68" s="467"/>
      <c r="AE68" s="467"/>
      <c r="AF68" s="467"/>
      <c r="AG68" s="504"/>
      <c r="AI68" s="619"/>
    </row>
    <row r="69" spans="3:35" s="3" customFormat="1" x14ac:dyDescent="0.3">
      <c r="C69" s="504"/>
      <c r="D69" s="4"/>
      <c r="E69" s="467"/>
      <c r="F69" s="467"/>
      <c r="G69" s="527"/>
      <c r="H69" s="527"/>
      <c r="I69" s="467"/>
      <c r="K69" s="633"/>
      <c r="L69" s="4"/>
      <c r="M69" s="467"/>
      <c r="N69" s="467"/>
      <c r="O69" s="467"/>
      <c r="P69" s="467"/>
      <c r="Q69" s="467"/>
      <c r="R69" s="4"/>
      <c r="S69" s="618"/>
      <c r="T69" s="4"/>
      <c r="U69" s="467"/>
      <c r="V69" s="467"/>
      <c r="W69" s="467"/>
      <c r="X69" s="467"/>
      <c r="Y69" s="504"/>
      <c r="AA69" s="619"/>
      <c r="AC69" s="467"/>
      <c r="AD69" s="467"/>
      <c r="AE69" s="467"/>
      <c r="AF69" s="467"/>
      <c r="AG69" s="504"/>
      <c r="AI69" s="619"/>
    </row>
    <row r="70" spans="3:35" s="3" customFormat="1" x14ac:dyDescent="0.3">
      <c r="C70" s="504"/>
      <c r="D70" s="4"/>
      <c r="E70" s="467"/>
      <c r="F70" s="467"/>
      <c r="G70" s="527"/>
      <c r="H70" s="527"/>
      <c r="I70" s="467"/>
      <c r="K70" s="633"/>
      <c r="L70" s="4"/>
      <c r="M70" s="467"/>
      <c r="N70" s="467"/>
      <c r="O70" s="467"/>
      <c r="P70" s="467"/>
      <c r="Q70" s="467"/>
      <c r="R70" s="4"/>
      <c r="S70" s="618"/>
      <c r="T70" s="4"/>
      <c r="U70" s="467"/>
      <c r="V70" s="467"/>
      <c r="W70" s="467"/>
      <c r="X70" s="467"/>
      <c r="Y70" s="504"/>
      <c r="AA70" s="619"/>
      <c r="AC70" s="467"/>
      <c r="AD70" s="467"/>
      <c r="AE70" s="467"/>
      <c r="AF70" s="467"/>
      <c r="AG70" s="504"/>
      <c r="AI70" s="619"/>
    </row>
    <row r="71" spans="3:35" s="3" customFormat="1" x14ac:dyDescent="0.3">
      <c r="C71" s="504"/>
      <c r="D71" s="4"/>
      <c r="E71" s="467"/>
      <c r="F71" s="467"/>
      <c r="G71" s="527"/>
      <c r="H71" s="527"/>
      <c r="I71" s="467"/>
      <c r="K71" s="633"/>
      <c r="L71" s="4"/>
      <c r="M71" s="467"/>
      <c r="N71" s="467"/>
      <c r="O71" s="467"/>
      <c r="P71" s="467"/>
      <c r="Q71" s="467"/>
      <c r="R71" s="4"/>
      <c r="S71" s="618"/>
      <c r="T71" s="4"/>
      <c r="U71" s="467"/>
      <c r="V71" s="467"/>
      <c r="W71" s="467"/>
      <c r="X71" s="467"/>
      <c r="Y71" s="504"/>
      <c r="AA71" s="619"/>
      <c r="AC71" s="467"/>
      <c r="AD71" s="467"/>
      <c r="AE71" s="467"/>
      <c r="AF71" s="467"/>
      <c r="AG71" s="504"/>
      <c r="AI71" s="619"/>
    </row>
    <row r="72" spans="3:35" s="3" customFormat="1" x14ac:dyDescent="0.3">
      <c r="C72" s="504"/>
      <c r="D72" s="4"/>
      <c r="E72" s="467"/>
      <c r="F72" s="467"/>
      <c r="G72" s="527"/>
      <c r="H72" s="527"/>
      <c r="I72" s="467"/>
      <c r="K72" s="633"/>
      <c r="L72" s="4"/>
      <c r="M72" s="467"/>
      <c r="N72" s="467"/>
      <c r="O72" s="467"/>
      <c r="P72" s="467"/>
      <c r="Q72" s="467"/>
      <c r="R72" s="4"/>
      <c r="S72" s="618"/>
      <c r="T72" s="4"/>
      <c r="U72" s="467"/>
      <c r="V72" s="467"/>
      <c r="W72" s="467"/>
      <c r="X72" s="467"/>
      <c r="Y72" s="504"/>
      <c r="AA72" s="619"/>
      <c r="AC72" s="467"/>
      <c r="AD72" s="467"/>
      <c r="AE72" s="467"/>
      <c r="AF72" s="467"/>
      <c r="AG72" s="504"/>
      <c r="AI72" s="619"/>
    </row>
    <row r="73" spans="3:35" s="3" customFormat="1" x14ac:dyDescent="0.3">
      <c r="C73" s="504"/>
      <c r="D73" s="4"/>
      <c r="E73" s="467"/>
      <c r="F73" s="467"/>
      <c r="G73" s="527"/>
      <c r="H73" s="527"/>
      <c r="I73" s="467"/>
      <c r="K73" s="633"/>
      <c r="L73" s="4"/>
      <c r="M73" s="467"/>
      <c r="N73" s="467"/>
      <c r="O73" s="467"/>
      <c r="P73" s="467"/>
      <c r="Q73" s="467"/>
      <c r="R73" s="4"/>
      <c r="S73" s="618"/>
      <c r="T73" s="4"/>
      <c r="U73" s="467"/>
      <c r="V73" s="467"/>
      <c r="W73" s="467"/>
      <c r="X73" s="467"/>
      <c r="Y73" s="504"/>
      <c r="AA73" s="619"/>
      <c r="AC73" s="467"/>
      <c r="AD73" s="467"/>
      <c r="AE73" s="467"/>
      <c r="AF73" s="467"/>
      <c r="AG73" s="504"/>
      <c r="AI73" s="619"/>
    </row>
    <row r="74" spans="3:35" s="3" customFormat="1" x14ac:dyDescent="0.3">
      <c r="C74" s="504"/>
      <c r="D74" s="4"/>
      <c r="E74" s="467"/>
      <c r="F74" s="467"/>
      <c r="G74" s="527"/>
      <c r="H74" s="527"/>
      <c r="I74" s="467"/>
      <c r="K74" s="633"/>
      <c r="L74" s="4"/>
      <c r="M74" s="467"/>
      <c r="N74" s="467"/>
      <c r="O74" s="467"/>
      <c r="P74" s="467"/>
      <c r="Q74" s="467"/>
      <c r="R74" s="4"/>
      <c r="S74" s="618"/>
      <c r="T74" s="4"/>
      <c r="U74" s="467"/>
      <c r="V74" s="467"/>
      <c r="W74" s="467"/>
      <c r="X74" s="467"/>
      <c r="Y74" s="504"/>
      <c r="AA74" s="619"/>
      <c r="AC74" s="467"/>
      <c r="AD74" s="467"/>
      <c r="AE74" s="467"/>
      <c r="AF74" s="467"/>
      <c r="AG74" s="504"/>
      <c r="AI74" s="619"/>
    </row>
    <row r="75" spans="3:35" s="3" customFormat="1" x14ac:dyDescent="0.3">
      <c r="C75" s="504"/>
      <c r="D75" s="4"/>
      <c r="E75" s="467"/>
      <c r="F75" s="467"/>
      <c r="G75" s="527"/>
      <c r="H75" s="527"/>
      <c r="I75" s="467"/>
      <c r="K75" s="633"/>
      <c r="L75" s="4"/>
      <c r="M75" s="467"/>
      <c r="N75" s="467"/>
      <c r="O75" s="467"/>
      <c r="P75" s="467"/>
      <c r="Q75" s="467"/>
      <c r="R75" s="4"/>
      <c r="S75" s="618"/>
      <c r="T75" s="4"/>
      <c r="U75" s="467"/>
      <c r="V75" s="467"/>
      <c r="W75" s="467"/>
      <c r="X75" s="467"/>
      <c r="Y75" s="504"/>
      <c r="AA75" s="619"/>
      <c r="AC75" s="467"/>
      <c r="AD75" s="467"/>
      <c r="AE75" s="467"/>
      <c r="AF75" s="467"/>
      <c r="AG75" s="504"/>
      <c r="AI75" s="619"/>
    </row>
    <row r="76" spans="3:35" s="3" customFormat="1" x14ac:dyDescent="0.3">
      <c r="C76" s="504"/>
      <c r="D76" s="4"/>
      <c r="E76" s="467"/>
      <c r="F76" s="467"/>
      <c r="G76" s="527"/>
      <c r="H76" s="527"/>
      <c r="I76" s="467"/>
      <c r="K76" s="633"/>
      <c r="L76" s="4"/>
      <c r="M76" s="467"/>
      <c r="N76" s="467"/>
      <c r="O76" s="467"/>
      <c r="P76" s="467"/>
      <c r="Q76" s="467"/>
      <c r="R76" s="4"/>
      <c r="S76" s="618"/>
      <c r="T76" s="4"/>
      <c r="U76" s="467"/>
      <c r="V76" s="467"/>
      <c r="W76" s="467"/>
      <c r="X76" s="467"/>
      <c r="Y76" s="504"/>
      <c r="AA76" s="619"/>
      <c r="AC76" s="467"/>
      <c r="AD76" s="467"/>
      <c r="AE76" s="467"/>
      <c r="AF76" s="467"/>
      <c r="AG76" s="504"/>
      <c r="AI76" s="619"/>
    </row>
    <row r="77" spans="3:35" s="3" customFormat="1" x14ac:dyDescent="0.3">
      <c r="C77" s="504"/>
      <c r="D77" s="4"/>
      <c r="E77" s="467"/>
      <c r="F77" s="467"/>
      <c r="G77" s="527"/>
      <c r="H77" s="527"/>
      <c r="I77" s="467"/>
      <c r="K77" s="633"/>
      <c r="L77" s="4"/>
      <c r="M77" s="467"/>
      <c r="N77" s="467"/>
      <c r="O77" s="467"/>
      <c r="P77" s="467"/>
      <c r="Q77" s="467"/>
      <c r="R77" s="4"/>
      <c r="S77" s="618"/>
      <c r="T77" s="4"/>
      <c r="U77" s="467"/>
      <c r="V77" s="467"/>
      <c r="W77" s="467"/>
      <c r="X77" s="467"/>
      <c r="Y77" s="504"/>
      <c r="AA77" s="619"/>
      <c r="AC77" s="467"/>
      <c r="AD77" s="467"/>
      <c r="AE77" s="467"/>
      <c r="AF77" s="467"/>
      <c r="AG77" s="504"/>
      <c r="AI77" s="619"/>
    </row>
    <row r="78" spans="3:35" s="3" customFormat="1" x14ac:dyDescent="0.3">
      <c r="C78" s="504"/>
      <c r="D78" s="4"/>
      <c r="E78" s="467"/>
      <c r="F78" s="467"/>
      <c r="G78" s="527"/>
      <c r="H78" s="527"/>
      <c r="I78" s="467"/>
      <c r="K78" s="633"/>
      <c r="L78" s="4"/>
      <c r="M78" s="467"/>
      <c r="N78" s="467"/>
      <c r="O78" s="467"/>
      <c r="P78" s="467"/>
      <c r="Q78" s="467"/>
      <c r="R78" s="4"/>
      <c r="S78" s="618"/>
      <c r="T78" s="4"/>
      <c r="U78" s="467"/>
      <c r="V78" s="467"/>
      <c r="W78" s="467"/>
      <c r="X78" s="467"/>
      <c r="Y78" s="504"/>
      <c r="AA78" s="619"/>
      <c r="AC78" s="467"/>
      <c r="AD78" s="467"/>
      <c r="AE78" s="467"/>
      <c r="AF78" s="467"/>
      <c r="AG78" s="504"/>
      <c r="AI78" s="619"/>
    </row>
    <row r="79" spans="3:35" s="3" customFormat="1" x14ac:dyDescent="0.3">
      <c r="C79" s="504"/>
      <c r="D79" s="4"/>
      <c r="E79" s="467"/>
      <c r="F79" s="467"/>
      <c r="G79" s="527"/>
      <c r="H79" s="527"/>
      <c r="I79" s="467"/>
      <c r="K79" s="633"/>
      <c r="L79" s="4"/>
      <c r="M79" s="467"/>
      <c r="N79" s="467"/>
      <c r="O79" s="467"/>
      <c r="P79" s="467"/>
      <c r="Q79" s="467"/>
      <c r="R79" s="4"/>
      <c r="S79" s="618"/>
      <c r="T79" s="4"/>
      <c r="U79" s="467"/>
      <c r="V79" s="467"/>
      <c r="W79" s="467"/>
      <c r="X79" s="467"/>
      <c r="Y79" s="504"/>
      <c r="AA79" s="619"/>
      <c r="AC79" s="467"/>
      <c r="AD79" s="467"/>
      <c r="AE79" s="467"/>
      <c r="AF79" s="467"/>
      <c r="AG79" s="504"/>
      <c r="AI79" s="619"/>
    </row>
    <row r="80" spans="3:35" s="3" customFormat="1" x14ac:dyDescent="0.3">
      <c r="C80" s="504"/>
      <c r="D80" s="4"/>
      <c r="E80" s="467"/>
      <c r="F80" s="467"/>
      <c r="G80" s="527"/>
      <c r="H80" s="527"/>
      <c r="I80" s="467"/>
      <c r="K80" s="633"/>
      <c r="L80" s="4"/>
      <c r="M80" s="467"/>
      <c r="N80" s="467"/>
      <c r="O80" s="467"/>
      <c r="P80" s="467"/>
      <c r="Q80" s="467"/>
      <c r="R80" s="4"/>
      <c r="S80" s="618"/>
      <c r="T80" s="4"/>
      <c r="U80" s="467"/>
      <c r="V80" s="467"/>
      <c r="W80" s="467"/>
      <c r="X80" s="467"/>
      <c r="Y80" s="504"/>
      <c r="AA80" s="619"/>
      <c r="AC80" s="467"/>
      <c r="AD80" s="467"/>
      <c r="AE80" s="467"/>
      <c r="AF80" s="467"/>
      <c r="AG80" s="504"/>
      <c r="AI80" s="619"/>
    </row>
    <row r="81" spans="3:35" s="3" customFormat="1" x14ac:dyDescent="0.3">
      <c r="C81" s="504"/>
      <c r="D81" s="4"/>
      <c r="E81" s="467"/>
      <c r="F81" s="467"/>
      <c r="G81" s="527"/>
      <c r="H81" s="527"/>
      <c r="I81" s="467"/>
      <c r="K81" s="633"/>
      <c r="L81" s="4"/>
      <c r="M81" s="467"/>
      <c r="N81" s="467"/>
      <c r="O81" s="467"/>
      <c r="P81" s="467"/>
      <c r="Q81" s="467"/>
      <c r="R81" s="4"/>
      <c r="S81" s="618"/>
      <c r="T81" s="4"/>
      <c r="U81" s="467"/>
      <c r="V81" s="467"/>
      <c r="W81" s="467"/>
      <c r="X81" s="467"/>
      <c r="Y81" s="504"/>
      <c r="AA81" s="619"/>
      <c r="AC81" s="467"/>
      <c r="AD81" s="467"/>
      <c r="AE81" s="467"/>
      <c r="AF81" s="467"/>
      <c r="AG81" s="504"/>
      <c r="AI81" s="619"/>
    </row>
    <row r="82" spans="3:35" s="3" customFormat="1" x14ac:dyDescent="0.3">
      <c r="C82" s="504"/>
      <c r="D82" s="4"/>
      <c r="E82" s="467"/>
      <c r="F82" s="467"/>
      <c r="G82" s="527"/>
      <c r="H82" s="527"/>
      <c r="I82" s="467"/>
      <c r="K82" s="633"/>
      <c r="L82" s="4"/>
      <c r="M82" s="467"/>
      <c r="N82" s="467"/>
      <c r="O82" s="467"/>
      <c r="P82" s="467"/>
      <c r="Q82" s="467"/>
      <c r="R82" s="4"/>
      <c r="S82" s="618"/>
      <c r="T82" s="4"/>
      <c r="U82" s="467"/>
      <c r="V82" s="467"/>
      <c r="W82" s="467"/>
      <c r="X82" s="467"/>
      <c r="Y82" s="504"/>
      <c r="AA82" s="619"/>
      <c r="AC82" s="467"/>
      <c r="AD82" s="467"/>
      <c r="AE82" s="467"/>
      <c r="AF82" s="467"/>
      <c r="AG82" s="504"/>
      <c r="AI82" s="619"/>
    </row>
    <row r="83" spans="3:35" s="3" customFormat="1" x14ac:dyDescent="0.3">
      <c r="C83" s="504"/>
      <c r="D83" s="4"/>
      <c r="E83" s="467"/>
      <c r="F83" s="467"/>
      <c r="G83" s="527"/>
      <c r="H83" s="527"/>
      <c r="I83" s="467"/>
      <c r="K83" s="633"/>
      <c r="L83" s="4"/>
      <c r="M83" s="467"/>
      <c r="N83" s="467"/>
      <c r="O83" s="467"/>
      <c r="P83" s="467"/>
      <c r="Q83" s="467"/>
      <c r="R83" s="4"/>
      <c r="S83" s="618"/>
      <c r="T83" s="4"/>
      <c r="U83" s="467"/>
      <c r="V83" s="467"/>
      <c r="W83" s="467"/>
      <c r="X83" s="467"/>
      <c r="Y83" s="504"/>
      <c r="AA83" s="619"/>
      <c r="AC83" s="467"/>
      <c r="AD83" s="467"/>
      <c r="AE83" s="467"/>
      <c r="AF83" s="467"/>
      <c r="AG83" s="504"/>
      <c r="AI83" s="619"/>
    </row>
    <row r="84" spans="3:35" s="3" customFormat="1" x14ac:dyDescent="0.3">
      <c r="C84" s="504"/>
      <c r="D84" s="4"/>
      <c r="E84" s="467"/>
      <c r="F84" s="467"/>
      <c r="G84" s="527"/>
      <c r="H84" s="527"/>
      <c r="I84" s="467"/>
      <c r="K84" s="633"/>
      <c r="L84" s="4"/>
      <c r="M84" s="467"/>
      <c r="N84" s="467"/>
      <c r="O84" s="467"/>
      <c r="P84" s="467"/>
      <c r="Q84" s="467"/>
      <c r="R84" s="4"/>
      <c r="S84" s="618"/>
      <c r="T84" s="4"/>
      <c r="U84" s="467"/>
      <c r="V84" s="467"/>
      <c r="W84" s="467"/>
      <c r="X84" s="467"/>
      <c r="Y84" s="504"/>
      <c r="AA84" s="619"/>
      <c r="AC84" s="467"/>
      <c r="AD84" s="467"/>
      <c r="AE84" s="467"/>
      <c r="AF84" s="467"/>
      <c r="AG84" s="504"/>
      <c r="AI84" s="619"/>
    </row>
    <row r="85" spans="3:35" s="3" customFormat="1" x14ac:dyDescent="0.3">
      <c r="C85" s="504"/>
      <c r="D85" s="4"/>
      <c r="E85" s="467"/>
      <c r="F85" s="467"/>
      <c r="G85" s="527"/>
      <c r="H85" s="527"/>
      <c r="I85" s="467"/>
      <c r="K85" s="633"/>
      <c r="L85" s="4"/>
      <c r="M85" s="467"/>
      <c r="N85" s="467"/>
      <c r="O85" s="467"/>
      <c r="P85" s="467"/>
      <c r="Q85" s="467"/>
      <c r="R85" s="4"/>
      <c r="S85" s="618"/>
      <c r="T85" s="4"/>
      <c r="U85" s="467"/>
      <c r="V85" s="467"/>
      <c r="W85" s="467"/>
      <c r="X85" s="467"/>
      <c r="Y85" s="504"/>
      <c r="AA85" s="619"/>
      <c r="AC85" s="467"/>
      <c r="AD85" s="467"/>
      <c r="AE85" s="467"/>
      <c r="AF85" s="467"/>
      <c r="AG85" s="504"/>
      <c r="AI85" s="619"/>
    </row>
    <row r="86" spans="3:35" s="3" customFormat="1" x14ac:dyDescent="0.3">
      <c r="C86" s="504"/>
      <c r="D86" s="4"/>
      <c r="E86" s="467"/>
      <c r="F86" s="467"/>
      <c r="G86" s="527"/>
      <c r="H86" s="527"/>
      <c r="I86" s="467"/>
      <c r="K86" s="633"/>
      <c r="L86" s="4"/>
      <c r="M86" s="467"/>
      <c r="N86" s="467"/>
      <c r="O86" s="467"/>
      <c r="P86" s="467"/>
      <c r="Q86" s="467"/>
      <c r="R86" s="4"/>
      <c r="S86" s="618"/>
      <c r="T86" s="4"/>
      <c r="U86" s="467"/>
      <c r="V86" s="467"/>
      <c r="W86" s="467"/>
      <c r="X86" s="467"/>
      <c r="Y86" s="504"/>
      <c r="AA86" s="619"/>
      <c r="AC86" s="467"/>
      <c r="AD86" s="467"/>
      <c r="AE86" s="467"/>
      <c r="AF86" s="467"/>
      <c r="AG86" s="504"/>
      <c r="AI86" s="619"/>
    </row>
    <row r="87" spans="3:35" s="3" customFormat="1" x14ac:dyDescent="0.3">
      <c r="C87" s="504"/>
      <c r="D87" s="4"/>
      <c r="E87" s="467"/>
      <c r="F87" s="467"/>
      <c r="G87" s="527"/>
      <c r="H87" s="527"/>
      <c r="I87" s="467"/>
      <c r="K87" s="633"/>
      <c r="L87" s="4"/>
      <c r="M87" s="467"/>
      <c r="N87" s="467"/>
      <c r="O87" s="467"/>
      <c r="P87" s="467"/>
      <c r="Q87" s="467"/>
      <c r="R87" s="4"/>
      <c r="S87" s="618"/>
      <c r="T87" s="4"/>
      <c r="U87" s="467"/>
      <c r="V87" s="467"/>
      <c r="W87" s="467"/>
      <c r="X87" s="467"/>
      <c r="Y87" s="504"/>
      <c r="AA87" s="619"/>
      <c r="AC87" s="467"/>
      <c r="AD87" s="467"/>
      <c r="AE87" s="467"/>
      <c r="AF87" s="467"/>
      <c r="AG87" s="504"/>
      <c r="AI87" s="619"/>
    </row>
    <row r="88" spans="3:35" s="3" customFormat="1" x14ac:dyDescent="0.3">
      <c r="C88" s="504"/>
      <c r="D88" s="4"/>
      <c r="E88" s="467"/>
      <c r="F88" s="467"/>
      <c r="G88" s="527"/>
      <c r="H88" s="527"/>
      <c r="I88" s="467"/>
      <c r="K88" s="633"/>
      <c r="L88" s="4"/>
      <c r="M88" s="467"/>
      <c r="N88" s="467"/>
      <c r="O88" s="467"/>
      <c r="P88" s="467"/>
      <c r="Q88" s="467"/>
      <c r="R88" s="4"/>
      <c r="S88" s="618"/>
      <c r="T88" s="4"/>
      <c r="U88" s="467"/>
      <c r="V88" s="467"/>
      <c r="W88" s="467"/>
      <c r="X88" s="467"/>
      <c r="Y88" s="504"/>
      <c r="AA88" s="619"/>
      <c r="AC88" s="467"/>
      <c r="AD88" s="467"/>
      <c r="AE88" s="467"/>
      <c r="AF88" s="467"/>
      <c r="AG88" s="504"/>
      <c r="AI88" s="619"/>
    </row>
    <row r="89" spans="3:35" s="3" customFormat="1" x14ac:dyDescent="0.3">
      <c r="C89" s="504"/>
      <c r="D89" s="4"/>
      <c r="E89" s="467"/>
      <c r="F89" s="467"/>
      <c r="G89" s="527"/>
      <c r="H89" s="527"/>
      <c r="I89" s="467"/>
      <c r="K89" s="633"/>
      <c r="L89" s="4"/>
      <c r="M89" s="467"/>
      <c r="N89" s="467"/>
      <c r="O89" s="467"/>
      <c r="P89" s="467"/>
      <c r="Q89" s="467"/>
      <c r="R89" s="4"/>
      <c r="S89" s="618"/>
      <c r="T89" s="4"/>
      <c r="U89" s="467"/>
      <c r="V89" s="467"/>
      <c r="W89" s="467"/>
      <c r="X89" s="467"/>
      <c r="Y89" s="504"/>
      <c r="AA89" s="619"/>
      <c r="AC89" s="467"/>
      <c r="AD89" s="467"/>
      <c r="AE89" s="467"/>
      <c r="AF89" s="467"/>
      <c r="AG89" s="504"/>
      <c r="AI89" s="619"/>
    </row>
    <row r="90" spans="3:35" s="3" customFormat="1" x14ac:dyDescent="0.3">
      <c r="C90" s="504"/>
      <c r="D90" s="4"/>
      <c r="E90" s="467"/>
      <c r="F90" s="467"/>
      <c r="G90" s="527"/>
      <c r="H90" s="527"/>
      <c r="I90" s="467"/>
      <c r="K90" s="633"/>
      <c r="L90" s="4"/>
      <c r="M90" s="467"/>
      <c r="N90" s="467"/>
      <c r="O90" s="467"/>
      <c r="P90" s="467"/>
      <c r="Q90" s="467"/>
      <c r="R90" s="4"/>
      <c r="S90" s="618"/>
      <c r="T90" s="4"/>
      <c r="U90" s="467"/>
      <c r="V90" s="467"/>
      <c r="W90" s="467"/>
      <c r="X90" s="467"/>
      <c r="Y90" s="504"/>
      <c r="AA90" s="619"/>
      <c r="AC90" s="467"/>
      <c r="AD90" s="467"/>
      <c r="AE90" s="467"/>
      <c r="AF90" s="467"/>
      <c r="AG90" s="504"/>
      <c r="AI90" s="619"/>
    </row>
    <row r="91" spans="3:35" s="3" customFormat="1" x14ac:dyDescent="0.3">
      <c r="C91" s="504"/>
      <c r="D91" s="4"/>
      <c r="E91" s="467"/>
      <c r="F91" s="467"/>
      <c r="G91" s="527"/>
      <c r="H91" s="527"/>
      <c r="I91" s="467"/>
      <c r="K91" s="633"/>
      <c r="L91" s="4"/>
      <c r="M91" s="467"/>
      <c r="N91" s="467"/>
      <c r="O91" s="467"/>
      <c r="P91" s="467"/>
      <c r="Q91" s="467"/>
      <c r="R91" s="4"/>
      <c r="S91" s="618"/>
      <c r="T91" s="4"/>
      <c r="U91" s="467"/>
      <c r="V91" s="467"/>
      <c r="W91" s="467"/>
      <c r="X91" s="467"/>
      <c r="Y91" s="504"/>
      <c r="AA91" s="619"/>
      <c r="AC91" s="467"/>
      <c r="AD91" s="467"/>
      <c r="AE91" s="467"/>
      <c r="AF91" s="467"/>
      <c r="AG91" s="504"/>
      <c r="AI91" s="619"/>
    </row>
    <row r="92" spans="3:35" s="3" customFormat="1" x14ac:dyDescent="0.3">
      <c r="C92" s="504"/>
      <c r="D92" s="4"/>
      <c r="E92" s="467"/>
      <c r="F92" s="467"/>
      <c r="G92" s="527"/>
      <c r="H92" s="527"/>
      <c r="I92" s="467"/>
      <c r="K92" s="633"/>
      <c r="L92" s="4"/>
      <c r="M92" s="467"/>
      <c r="N92" s="467"/>
      <c r="O92" s="467"/>
      <c r="P92" s="467"/>
      <c r="Q92" s="467"/>
      <c r="R92" s="4"/>
      <c r="S92" s="618"/>
      <c r="T92" s="4"/>
      <c r="U92" s="467"/>
      <c r="V92" s="467"/>
      <c r="W92" s="467"/>
      <c r="X92" s="467"/>
      <c r="Y92" s="504"/>
      <c r="AA92" s="619"/>
      <c r="AC92" s="467"/>
      <c r="AD92" s="467"/>
      <c r="AE92" s="467"/>
      <c r="AF92" s="467"/>
      <c r="AG92" s="504"/>
      <c r="AI92" s="619"/>
    </row>
    <row r="93" spans="3:35" s="3" customFormat="1" x14ac:dyDescent="0.3">
      <c r="C93" s="504"/>
      <c r="D93" s="4"/>
      <c r="E93" s="467"/>
      <c r="F93" s="467"/>
      <c r="G93" s="527"/>
      <c r="H93" s="527"/>
      <c r="I93" s="467"/>
      <c r="K93" s="633"/>
      <c r="L93" s="4"/>
      <c r="M93" s="467"/>
      <c r="N93" s="467"/>
      <c r="O93" s="467"/>
      <c r="P93" s="467"/>
      <c r="Q93" s="467"/>
      <c r="R93" s="4"/>
      <c r="S93" s="618"/>
      <c r="T93" s="4"/>
      <c r="U93" s="467"/>
      <c r="V93" s="467"/>
      <c r="W93" s="467"/>
      <c r="X93" s="467"/>
      <c r="Y93" s="504"/>
      <c r="AA93" s="619"/>
      <c r="AC93" s="467"/>
      <c r="AD93" s="467"/>
      <c r="AE93" s="467"/>
      <c r="AF93" s="467"/>
      <c r="AG93" s="504"/>
      <c r="AI93" s="619"/>
    </row>
    <row r="94" spans="3:35" s="3" customFormat="1" x14ac:dyDescent="0.3">
      <c r="C94" s="504"/>
      <c r="D94" s="4"/>
      <c r="E94" s="467"/>
      <c r="F94" s="467"/>
      <c r="G94" s="527"/>
      <c r="H94" s="527"/>
      <c r="I94" s="467"/>
      <c r="K94" s="633"/>
      <c r="L94" s="4"/>
      <c r="M94" s="467"/>
      <c r="N94" s="467"/>
      <c r="O94" s="467"/>
      <c r="P94" s="467"/>
      <c r="Q94" s="467"/>
      <c r="R94" s="4"/>
      <c r="S94" s="618"/>
      <c r="T94" s="4"/>
      <c r="U94" s="467"/>
      <c r="V94" s="467"/>
      <c r="W94" s="467"/>
      <c r="X94" s="467"/>
      <c r="Y94" s="504"/>
      <c r="AA94" s="619"/>
      <c r="AC94" s="467"/>
      <c r="AD94" s="467"/>
      <c r="AE94" s="467"/>
      <c r="AF94" s="467"/>
      <c r="AG94" s="504"/>
      <c r="AI94" s="619"/>
    </row>
    <row r="95" spans="3:35" s="3" customFormat="1" x14ac:dyDescent="0.3">
      <c r="C95" s="504"/>
      <c r="D95" s="4"/>
      <c r="E95" s="467"/>
      <c r="F95" s="467"/>
      <c r="G95" s="527"/>
      <c r="H95" s="527"/>
      <c r="I95" s="467"/>
      <c r="K95" s="633"/>
      <c r="L95" s="4"/>
      <c r="M95" s="467"/>
      <c r="N95" s="467"/>
      <c r="O95" s="467"/>
      <c r="P95" s="467"/>
      <c r="Q95" s="467"/>
      <c r="R95" s="4"/>
      <c r="S95" s="618"/>
      <c r="T95" s="4"/>
      <c r="U95" s="467"/>
      <c r="V95" s="467"/>
      <c r="W95" s="467"/>
      <c r="X95" s="467"/>
      <c r="Y95" s="504"/>
      <c r="AA95" s="619"/>
      <c r="AC95" s="467"/>
      <c r="AD95" s="467"/>
      <c r="AE95" s="467"/>
      <c r="AF95" s="467"/>
      <c r="AG95" s="504"/>
      <c r="AI95" s="619"/>
    </row>
    <row r="96" spans="3:35" s="3" customFormat="1" x14ac:dyDescent="0.3">
      <c r="C96" s="504"/>
      <c r="D96" s="4"/>
      <c r="E96" s="467"/>
      <c r="F96" s="467"/>
      <c r="G96" s="527"/>
      <c r="H96" s="527"/>
      <c r="I96" s="467"/>
      <c r="K96" s="633"/>
      <c r="L96" s="4"/>
      <c r="M96" s="467"/>
      <c r="N96" s="467"/>
      <c r="O96" s="467"/>
      <c r="P96" s="467"/>
      <c r="Q96" s="467"/>
      <c r="R96" s="4"/>
      <c r="S96" s="618"/>
      <c r="T96" s="4"/>
      <c r="U96" s="467"/>
      <c r="V96" s="467"/>
      <c r="W96" s="467"/>
      <c r="X96" s="467"/>
      <c r="Y96" s="504"/>
      <c r="AA96" s="619"/>
      <c r="AC96" s="467"/>
      <c r="AD96" s="467"/>
      <c r="AE96" s="467"/>
      <c r="AF96" s="467"/>
      <c r="AG96" s="504"/>
      <c r="AI96" s="619"/>
    </row>
    <row r="97" spans="3:35" s="3" customFormat="1" x14ac:dyDescent="0.3">
      <c r="C97" s="504"/>
      <c r="D97" s="4"/>
      <c r="E97" s="467"/>
      <c r="F97" s="467"/>
      <c r="G97" s="527"/>
      <c r="H97" s="527"/>
      <c r="I97" s="467"/>
      <c r="K97" s="633"/>
      <c r="L97" s="4"/>
      <c r="M97" s="467"/>
      <c r="N97" s="467"/>
      <c r="O97" s="467"/>
      <c r="P97" s="467"/>
      <c r="Q97" s="467"/>
      <c r="R97" s="4"/>
      <c r="S97" s="618"/>
      <c r="T97" s="4"/>
      <c r="U97" s="467"/>
      <c r="V97" s="467"/>
      <c r="W97" s="467"/>
      <c r="X97" s="467"/>
      <c r="Y97" s="504"/>
      <c r="AA97" s="619"/>
      <c r="AC97" s="467"/>
      <c r="AD97" s="467"/>
      <c r="AE97" s="467"/>
      <c r="AF97" s="467"/>
      <c r="AG97" s="504"/>
      <c r="AI97" s="619"/>
    </row>
    <row r="98" spans="3:35" s="3" customFormat="1" x14ac:dyDescent="0.3">
      <c r="C98" s="504"/>
      <c r="D98" s="4"/>
      <c r="E98" s="467"/>
      <c r="F98" s="467"/>
      <c r="G98" s="527"/>
      <c r="H98" s="527"/>
      <c r="I98" s="467"/>
      <c r="K98" s="633"/>
      <c r="L98" s="4"/>
      <c r="M98" s="467"/>
      <c r="N98" s="467"/>
      <c r="O98" s="467"/>
      <c r="P98" s="467"/>
      <c r="Q98" s="467"/>
      <c r="R98" s="4"/>
      <c r="S98" s="618"/>
      <c r="T98" s="4"/>
      <c r="U98" s="467"/>
      <c r="V98" s="467"/>
      <c r="W98" s="467"/>
      <c r="X98" s="467"/>
      <c r="Y98" s="504"/>
      <c r="AA98" s="619"/>
      <c r="AC98" s="467"/>
      <c r="AD98" s="467"/>
      <c r="AE98" s="467"/>
      <c r="AF98" s="467"/>
      <c r="AG98" s="504"/>
      <c r="AI98" s="619"/>
    </row>
    <row r="99" spans="3:35" s="3" customFormat="1" x14ac:dyDescent="0.3">
      <c r="C99" s="504"/>
      <c r="D99" s="4"/>
      <c r="E99" s="467"/>
      <c r="F99" s="467"/>
      <c r="G99" s="527"/>
      <c r="H99" s="527"/>
      <c r="I99" s="467"/>
      <c r="K99" s="633"/>
      <c r="L99" s="4"/>
      <c r="M99" s="467"/>
      <c r="N99" s="467"/>
      <c r="O99" s="467"/>
      <c r="P99" s="467"/>
      <c r="Q99" s="467"/>
      <c r="R99" s="4"/>
      <c r="S99" s="618"/>
      <c r="T99" s="4"/>
      <c r="U99" s="467"/>
      <c r="V99" s="467"/>
      <c r="W99" s="467"/>
      <c r="X99" s="467"/>
      <c r="Y99" s="504"/>
      <c r="AA99" s="619"/>
      <c r="AC99" s="467"/>
      <c r="AD99" s="467"/>
      <c r="AE99" s="467"/>
      <c r="AF99" s="467"/>
      <c r="AG99" s="504"/>
      <c r="AI99" s="619"/>
    </row>
    <row r="100" spans="3:35" s="3" customFormat="1" x14ac:dyDescent="0.3">
      <c r="C100" s="504"/>
      <c r="D100" s="4"/>
      <c r="E100" s="467"/>
      <c r="F100" s="467"/>
      <c r="G100" s="527"/>
      <c r="H100" s="527"/>
      <c r="I100" s="467"/>
      <c r="K100" s="633"/>
      <c r="L100" s="4"/>
      <c r="M100" s="467"/>
      <c r="N100" s="467"/>
      <c r="O100" s="467"/>
      <c r="P100" s="467"/>
      <c r="Q100" s="467"/>
      <c r="R100" s="4"/>
      <c r="S100" s="618"/>
      <c r="T100" s="4"/>
      <c r="U100" s="467"/>
      <c r="V100" s="467"/>
      <c r="W100" s="467"/>
      <c r="X100" s="467"/>
      <c r="Y100" s="504"/>
      <c r="AA100" s="619"/>
      <c r="AC100" s="467"/>
      <c r="AD100" s="467"/>
      <c r="AE100" s="467"/>
      <c r="AF100" s="467"/>
      <c r="AG100" s="504"/>
      <c r="AI100" s="619"/>
    </row>
    <row r="101" spans="3:35" s="3" customFormat="1" x14ac:dyDescent="0.3">
      <c r="C101" s="504"/>
      <c r="D101" s="4"/>
      <c r="E101" s="467"/>
      <c r="F101" s="467"/>
      <c r="G101" s="527"/>
      <c r="H101" s="527"/>
      <c r="I101" s="467"/>
      <c r="K101" s="633"/>
      <c r="L101" s="4"/>
      <c r="M101" s="467"/>
      <c r="N101" s="467"/>
      <c r="O101" s="467"/>
      <c r="P101" s="467"/>
      <c r="Q101" s="467"/>
      <c r="R101" s="4"/>
      <c r="S101" s="618"/>
      <c r="T101" s="4"/>
      <c r="U101" s="467"/>
      <c r="V101" s="467"/>
      <c r="W101" s="467"/>
      <c r="X101" s="467"/>
      <c r="Y101" s="504"/>
      <c r="AA101" s="619"/>
      <c r="AC101" s="467"/>
      <c r="AD101" s="467"/>
      <c r="AE101" s="467"/>
      <c r="AF101" s="467"/>
      <c r="AG101" s="504"/>
      <c r="AI101" s="619"/>
    </row>
    <row r="102" spans="3:35" s="3" customFormat="1" x14ac:dyDescent="0.3">
      <c r="C102" s="504"/>
      <c r="D102" s="4"/>
      <c r="E102" s="467"/>
      <c r="F102" s="467"/>
      <c r="G102" s="527"/>
      <c r="H102" s="527"/>
      <c r="I102" s="467"/>
      <c r="K102" s="633"/>
      <c r="L102" s="4"/>
      <c r="M102" s="467"/>
      <c r="N102" s="467"/>
      <c r="O102" s="467"/>
      <c r="P102" s="467"/>
      <c r="Q102" s="467"/>
      <c r="R102" s="4"/>
      <c r="S102" s="618"/>
      <c r="T102" s="4"/>
      <c r="U102" s="467"/>
      <c r="V102" s="467"/>
      <c r="W102" s="467"/>
      <c r="X102" s="467"/>
      <c r="Y102" s="504"/>
      <c r="AA102" s="619"/>
      <c r="AC102" s="467"/>
      <c r="AD102" s="467"/>
      <c r="AE102" s="467"/>
      <c r="AF102" s="467"/>
      <c r="AG102" s="504"/>
      <c r="AI102" s="619"/>
    </row>
    <row r="103" spans="3:35" s="3" customFormat="1" x14ac:dyDescent="0.3">
      <c r="C103" s="504"/>
      <c r="D103" s="4"/>
      <c r="E103" s="467"/>
      <c r="F103" s="467"/>
      <c r="G103" s="527"/>
      <c r="H103" s="527"/>
      <c r="I103" s="467"/>
      <c r="K103" s="633"/>
      <c r="L103" s="4"/>
      <c r="M103" s="467"/>
      <c r="N103" s="467"/>
      <c r="O103" s="467"/>
      <c r="P103" s="467"/>
      <c r="Q103" s="467"/>
      <c r="R103" s="4"/>
      <c r="S103" s="618"/>
      <c r="T103" s="4"/>
      <c r="U103" s="467"/>
      <c r="V103" s="467"/>
      <c r="W103" s="467"/>
      <c r="X103" s="467"/>
      <c r="Y103" s="504"/>
      <c r="AA103" s="619"/>
      <c r="AC103" s="467"/>
      <c r="AD103" s="467"/>
      <c r="AE103" s="467"/>
      <c r="AF103" s="467"/>
      <c r="AG103" s="504"/>
      <c r="AI103" s="619"/>
    </row>
    <row r="104" spans="3:35" s="3" customFormat="1" x14ac:dyDescent="0.3">
      <c r="C104" s="504"/>
      <c r="D104" s="4"/>
      <c r="E104" s="467"/>
      <c r="F104" s="467"/>
      <c r="G104" s="527"/>
      <c r="H104" s="527"/>
      <c r="I104" s="467"/>
      <c r="K104" s="633"/>
      <c r="L104" s="4"/>
      <c r="M104" s="467"/>
      <c r="N104" s="467"/>
      <c r="O104" s="467"/>
      <c r="P104" s="467"/>
      <c r="Q104" s="467"/>
      <c r="R104" s="4"/>
      <c r="S104" s="618"/>
      <c r="T104" s="4"/>
      <c r="U104" s="467"/>
      <c r="V104" s="467"/>
      <c r="W104" s="467"/>
      <c r="X104" s="467"/>
      <c r="Y104" s="504"/>
      <c r="AA104" s="619"/>
      <c r="AC104" s="467"/>
      <c r="AD104" s="467"/>
      <c r="AE104" s="467"/>
      <c r="AF104" s="467"/>
      <c r="AG104" s="504"/>
      <c r="AI104" s="619"/>
    </row>
    <row r="105" spans="3:35" s="3" customFormat="1" x14ac:dyDescent="0.3">
      <c r="C105" s="504"/>
      <c r="D105" s="4"/>
      <c r="E105" s="467"/>
      <c r="F105" s="467"/>
      <c r="G105" s="527"/>
      <c r="H105" s="527"/>
      <c r="I105" s="467"/>
      <c r="K105" s="633"/>
      <c r="L105" s="4"/>
      <c r="M105" s="467"/>
      <c r="N105" s="467"/>
      <c r="O105" s="467"/>
      <c r="P105" s="467"/>
      <c r="Q105" s="467"/>
      <c r="R105" s="4"/>
      <c r="S105" s="618"/>
      <c r="T105" s="4"/>
      <c r="U105" s="467"/>
      <c r="V105" s="467"/>
      <c r="W105" s="467"/>
      <c r="X105" s="467"/>
      <c r="Y105" s="504"/>
      <c r="AA105" s="619"/>
      <c r="AC105" s="467"/>
      <c r="AD105" s="467"/>
      <c r="AE105" s="467"/>
      <c r="AF105" s="467"/>
      <c r="AG105" s="504"/>
      <c r="AI105" s="619"/>
    </row>
    <row r="106" spans="3:35" s="3" customFormat="1" x14ac:dyDescent="0.3">
      <c r="C106" s="504"/>
      <c r="D106" s="4"/>
      <c r="E106" s="467"/>
      <c r="F106" s="467"/>
      <c r="G106" s="527"/>
      <c r="H106" s="527"/>
      <c r="I106" s="467"/>
      <c r="K106" s="633"/>
      <c r="L106" s="4"/>
      <c r="M106" s="467"/>
      <c r="N106" s="467"/>
      <c r="O106" s="467"/>
      <c r="P106" s="467"/>
      <c r="Q106" s="467"/>
      <c r="R106" s="4"/>
      <c r="S106" s="618"/>
      <c r="T106" s="4"/>
      <c r="U106" s="467"/>
      <c r="V106" s="467"/>
      <c r="W106" s="467"/>
      <c r="X106" s="467"/>
      <c r="Y106" s="504"/>
      <c r="AA106" s="619"/>
      <c r="AC106" s="467"/>
      <c r="AD106" s="467"/>
      <c r="AE106" s="467"/>
      <c r="AF106" s="467"/>
      <c r="AG106" s="504"/>
      <c r="AI106" s="619"/>
    </row>
    <row r="107" spans="3:35" s="3" customFormat="1" x14ac:dyDescent="0.3">
      <c r="C107" s="504"/>
      <c r="D107" s="4"/>
      <c r="E107" s="467"/>
      <c r="F107" s="467"/>
      <c r="G107" s="527"/>
      <c r="H107" s="527"/>
      <c r="I107" s="467"/>
      <c r="K107" s="633"/>
      <c r="L107" s="4"/>
      <c r="M107" s="467"/>
      <c r="N107" s="467"/>
      <c r="O107" s="467"/>
      <c r="P107" s="467"/>
      <c r="Q107" s="467"/>
      <c r="R107" s="4"/>
      <c r="S107" s="618"/>
      <c r="T107" s="4"/>
      <c r="U107" s="467"/>
      <c r="V107" s="467"/>
      <c r="W107" s="467"/>
      <c r="X107" s="467"/>
      <c r="Y107" s="504"/>
      <c r="AA107" s="619"/>
      <c r="AC107" s="467"/>
      <c r="AD107" s="467"/>
      <c r="AE107" s="467"/>
      <c r="AF107" s="467"/>
      <c r="AG107" s="504"/>
      <c r="AI107" s="619"/>
    </row>
    <row r="108" spans="3:35" s="3" customFormat="1" x14ac:dyDescent="0.3">
      <c r="C108" s="504"/>
      <c r="D108" s="4"/>
      <c r="E108" s="467"/>
      <c r="F108" s="467"/>
      <c r="G108" s="527"/>
      <c r="H108" s="527"/>
      <c r="I108" s="467"/>
      <c r="K108" s="633"/>
      <c r="L108" s="4"/>
      <c r="M108" s="467"/>
      <c r="N108" s="467"/>
      <c r="O108" s="467"/>
      <c r="P108" s="467"/>
      <c r="Q108" s="467"/>
      <c r="R108" s="4"/>
      <c r="S108" s="618"/>
      <c r="T108" s="4"/>
      <c r="U108" s="467"/>
      <c r="V108" s="467"/>
      <c r="W108" s="467"/>
      <c r="X108" s="467"/>
      <c r="Y108" s="504"/>
      <c r="AA108" s="619"/>
      <c r="AC108" s="467"/>
      <c r="AD108" s="467"/>
      <c r="AE108" s="467"/>
      <c r="AF108" s="467"/>
      <c r="AG108" s="504"/>
      <c r="AI108" s="619"/>
    </row>
    <row r="109" spans="3:35" s="3" customFormat="1" x14ac:dyDescent="0.3">
      <c r="C109" s="504"/>
      <c r="D109" s="4"/>
      <c r="E109" s="467"/>
      <c r="F109" s="467"/>
      <c r="G109" s="527"/>
      <c r="H109" s="527"/>
      <c r="I109" s="467"/>
      <c r="K109" s="633"/>
      <c r="L109" s="4"/>
      <c r="M109" s="467"/>
      <c r="N109" s="467"/>
      <c r="O109" s="467"/>
      <c r="P109" s="467"/>
      <c r="Q109" s="467"/>
      <c r="R109" s="4"/>
      <c r="S109" s="618"/>
      <c r="T109" s="4"/>
      <c r="U109" s="467"/>
      <c r="V109" s="467"/>
      <c r="W109" s="467"/>
      <c r="X109" s="467"/>
      <c r="Y109" s="504"/>
      <c r="AA109" s="619"/>
      <c r="AC109" s="467"/>
      <c r="AD109" s="467"/>
      <c r="AE109" s="467"/>
      <c r="AF109" s="467"/>
      <c r="AG109" s="504"/>
      <c r="AI109" s="619"/>
    </row>
    <row r="110" spans="3:35" s="3" customFormat="1" x14ac:dyDescent="0.3">
      <c r="C110" s="504"/>
      <c r="D110" s="4"/>
      <c r="E110" s="467"/>
      <c r="F110" s="467"/>
      <c r="G110" s="527"/>
      <c r="H110" s="527"/>
      <c r="I110" s="467"/>
      <c r="K110" s="633"/>
      <c r="L110" s="4"/>
      <c r="M110" s="467"/>
      <c r="N110" s="467"/>
      <c r="O110" s="467"/>
      <c r="P110" s="467"/>
      <c r="Q110" s="467"/>
      <c r="R110" s="4"/>
      <c r="S110" s="618"/>
      <c r="T110" s="4"/>
      <c r="U110" s="467"/>
      <c r="V110" s="467"/>
      <c r="W110" s="467"/>
      <c r="X110" s="467"/>
      <c r="Y110" s="504"/>
      <c r="AA110" s="619"/>
      <c r="AC110" s="467"/>
      <c r="AD110" s="467"/>
      <c r="AE110" s="467"/>
      <c r="AF110" s="467"/>
      <c r="AG110" s="504"/>
      <c r="AI110" s="619"/>
    </row>
    <row r="111" spans="3:35" s="3" customFormat="1" x14ac:dyDescent="0.3">
      <c r="C111" s="504"/>
      <c r="D111" s="4"/>
      <c r="E111" s="467"/>
      <c r="F111" s="467"/>
      <c r="G111" s="527"/>
      <c r="H111" s="527"/>
      <c r="I111" s="467"/>
      <c r="K111" s="633"/>
      <c r="L111" s="4"/>
      <c r="M111" s="467"/>
      <c r="N111" s="467"/>
      <c r="O111" s="467"/>
      <c r="P111" s="467"/>
      <c r="Q111" s="467"/>
      <c r="R111" s="4"/>
      <c r="S111" s="618"/>
      <c r="T111" s="4"/>
      <c r="U111" s="467"/>
      <c r="V111" s="467"/>
      <c r="W111" s="467"/>
      <c r="X111" s="467"/>
      <c r="Y111" s="504"/>
      <c r="AA111" s="619"/>
      <c r="AC111" s="467"/>
      <c r="AD111" s="467"/>
      <c r="AE111" s="467"/>
      <c r="AF111" s="467"/>
      <c r="AG111" s="504"/>
      <c r="AI111" s="619"/>
    </row>
    <row r="112" spans="3:35" s="3" customFormat="1" x14ac:dyDescent="0.3">
      <c r="C112" s="504"/>
      <c r="D112" s="4"/>
      <c r="E112" s="467"/>
      <c r="F112" s="467"/>
      <c r="G112" s="527"/>
      <c r="H112" s="527"/>
      <c r="I112" s="467"/>
      <c r="K112" s="633"/>
      <c r="L112" s="4"/>
      <c r="M112" s="467"/>
      <c r="N112" s="467"/>
      <c r="O112" s="467"/>
      <c r="P112" s="467"/>
      <c r="Q112" s="467"/>
      <c r="R112" s="4"/>
      <c r="S112" s="618"/>
      <c r="T112" s="4"/>
      <c r="U112" s="467"/>
      <c r="V112" s="467"/>
      <c r="W112" s="467"/>
      <c r="X112" s="467"/>
      <c r="Y112" s="504"/>
      <c r="AA112" s="619"/>
      <c r="AC112" s="467"/>
      <c r="AD112" s="467"/>
      <c r="AE112" s="467"/>
      <c r="AF112" s="467"/>
      <c r="AG112" s="504"/>
      <c r="AI112" s="619"/>
    </row>
    <row r="113" spans="3:35" s="3" customFormat="1" x14ac:dyDescent="0.3">
      <c r="C113" s="504"/>
      <c r="D113" s="4"/>
      <c r="E113" s="467"/>
      <c r="F113" s="467"/>
      <c r="G113" s="527"/>
      <c r="H113" s="527"/>
      <c r="I113" s="467"/>
      <c r="K113" s="633"/>
      <c r="L113" s="4"/>
      <c r="M113" s="467"/>
      <c r="N113" s="467"/>
      <c r="O113" s="467"/>
      <c r="P113" s="467"/>
      <c r="Q113" s="467"/>
      <c r="R113" s="4"/>
      <c r="S113" s="618"/>
      <c r="T113" s="4"/>
      <c r="U113" s="467"/>
      <c r="V113" s="467"/>
      <c r="W113" s="467"/>
      <c r="X113" s="467"/>
      <c r="Y113" s="504"/>
      <c r="AA113" s="619"/>
      <c r="AC113" s="467"/>
      <c r="AD113" s="467"/>
      <c r="AE113" s="467"/>
      <c r="AF113" s="467"/>
      <c r="AG113" s="504"/>
      <c r="AI113" s="619"/>
    </row>
    <row r="114" spans="3:35" s="3" customFormat="1" x14ac:dyDescent="0.3">
      <c r="C114" s="504"/>
      <c r="D114" s="4"/>
      <c r="E114" s="467"/>
      <c r="F114" s="467"/>
      <c r="G114" s="527"/>
      <c r="H114" s="527"/>
      <c r="I114" s="467"/>
      <c r="K114" s="633"/>
      <c r="L114" s="4"/>
      <c r="M114" s="467"/>
      <c r="N114" s="467"/>
      <c r="O114" s="467"/>
      <c r="P114" s="467"/>
      <c r="Q114" s="467"/>
      <c r="R114" s="4"/>
      <c r="S114" s="618"/>
      <c r="T114" s="4"/>
      <c r="U114" s="467"/>
      <c r="V114" s="467"/>
      <c r="W114" s="467"/>
      <c r="X114" s="467"/>
      <c r="Y114" s="504"/>
      <c r="AA114" s="619"/>
      <c r="AC114" s="467"/>
      <c r="AD114" s="467"/>
      <c r="AE114" s="467"/>
      <c r="AF114" s="467"/>
      <c r="AG114" s="504"/>
      <c r="AI114" s="619"/>
    </row>
    <row r="115" spans="3:35" s="3" customFormat="1" x14ac:dyDescent="0.3">
      <c r="C115" s="504"/>
      <c r="D115" s="4"/>
      <c r="E115" s="467"/>
      <c r="F115" s="467"/>
      <c r="G115" s="527"/>
      <c r="H115" s="527"/>
      <c r="I115" s="467"/>
      <c r="K115" s="633"/>
      <c r="L115" s="4"/>
      <c r="M115" s="467"/>
      <c r="N115" s="467"/>
      <c r="O115" s="467"/>
      <c r="P115" s="467"/>
      <c r="Q115" s="467"/>
      <c r="R115" s="4"/>
      <c r="S115" s="618"/>
      <c r="T115" s="4"/>
      <c r="U115" s="467"/>
      <c r="V115" s="467"/>
      <c r="W115" s="467"/>
      <c r="X115" s="467"/>
      <c r="Y115" s="504"/>
      <c r="AA115" s="619"/>
      <c r="AC115" s="467"/>
      <c r="AD115" s="467"/>
      <c r="AE115" s="467"/>
      <c r="AF115" s="467"/>
      <c r="AG115" s="504"/>
      <c r="AI115" s="619"/>
    </row>
    <row r="116" spans="3:35" s="3" customFormat="1" x14ac:dyDescent="0.3">
      <c r="C116" s="504"/>
      <c r="D116" s="4"/>
      <c r="E116" s="467"/>
      <c r="F116" s="467"/>
      <c r="G116" s="527"/>
      <c r="H116" s="527"/>
      <c r="I116" s="467"/>
      <c r="K116" s="633"/>
      <c r="L116" s="4"/>
      <c r="M116" s="467"/>
      <c r="N116" s="467"/>
      <c r="O116" s="467"/>
      <c r="P116" s="467"/>
      <c r="Q116" s="467"/>
      <c r="R116" s="4"/>
      <c r="S116" s="618"/>
      <c r="T116" s="4"/>
      <c r="U116" s="467"/>
      <c r="V116" s="467"/>
      <c r="W116" s="467"/>
      <c r="X116" s="467"/>
      <c r="Y116" s="504"/>
      <c r="AA116" s="619"/>
      <c r="AC116" s="467"/>
      <c r="AD116" s="467"/>
      <c r="AE116" s="467"/>
      <c r="AF116" s="467"/>
      <c r="AG116" s="504"/>
      <c r="AI116" s="619"/>
    </row>
    <row r="117" spans="3:35" s="3" customFormat="1" x14ac:dyDescent="0.3">
      <c r="C117" s="504"/>
      <c r="D117" s="4"/>
      <c r="E117" s="467"/>
      <c r="F117" s="467"/>
      <c r="G117" s="527"/>
      <c r="H117" s="527"/>
      <c r="I117" s="467"/>
      <c r="K117" s="633"/>
      <c r="L117" s="4"/>
      <c r="M117" s="467"/>
      <c r="N117" s="467"/>
      <c r="O117" s="467"/>
      <c r="P117" s="467"/>
      <c r="Q117" s="467"/>
      <c r="R117" s="4"/>
      <c r="S117" s="618"/>
      <c r="T117" s="4"/>
      <c r="U117" s="467"/>
      <c r="V117" s="467"/>
      <c r="W117" s="467"/>
      <c r="X117" s="467"/>
      <c r="Y117" s="504"/>
      <c r="AA117" s="619"/>
      <c r="AC117" s="467"/>
      <c r="AD117" s="467"/>
      <c r="AE117" s="467"/>
      <c r="AF117" s="467"/>
      <c r="AG117" s="504"/>
      <c r="AI117" s="619"/>
    </row>
    <row r="118" spans="3:35" s="3" customFormat="1" x14ac:dyDescent="0.3">
      <c r="C118" s="504"/>
      <c r="D118" s="4"/>
      <c r="E118" s="467"/>
      <c r="F118" s="467"/>
      <c r="G118" s="527"/>
      <c r="H118" s="527"/>
      <c r="I118" s="467"/>
      <c r="K118" s="633"/>
      <c r="L118" s="4"/>
      <c r="M118" s="467"/>
      <c r="N118" s="467"/>
      <c r="O118" s="467"/>
      <c r="P118" s="467"/>
      <c r="Q118" s="467"/>
      <c r="R118" s="4"/>
      <c r="S118" s="618"/>
      <c r="T118" s="4"/>
      <c r="U118" s="467"/>
      <c r="V118" s="467"/>
      <c r="W118" s="467"/>
      <c r="X118" s="467"/>
      <c r="Y118" s="504"/>
      <c r="AA118" s="619"/>
      <c r="AC118" s="467"/>
      <c r="AD118" s="467"/>
      <c r="AE118" s="467"/>
      <c r="AF118" s="467"/>
      <c r="AG118" s="504"/>
      <c r="AI118" s="619"/>
    </row>
    <row r="119" spans="3:35" s="3" customFormat="1" x14ac:dyDescent="0.3">
      <c r="C119" s="504"/>
      <c r="D119" s="4"/>
      <c r="E119" s="467"/>
      <c r="F119" s="467"/>
      <c r="G119" s="527"/>
      <c r="H119" s="527"/>
      <c r="I119" s="467"/>
      <c r="K119" s="633"/>
      <c r="L119" s="4"/>
      <c r="M119" s="467"/>
      <c r="N119" s="467"/>
      <c r="O119" s="467"/>
      <c r="P119" s="467"/>
      <c r="Q119" s="467"/>
      <c r="R119" s="4"/>
      <c r="S119" s="618"/>
      <c r="T119" s="4"/>
      <c r="U119" s="467"/>
      <c r="V119" s="467"/>
      <c r="W119" s="467"/>
      <c r="X119" s="467"/>
      <c r="Y119" s="504"/>
      <c r="AA119" s="619"/>
      <c r="AC119" s="467"/>
      <c r="AD119" s="467"/>
      <c r="AE119" s="467"/>
      <c r="AF119" s="467"/>
      <c r="AG119" s="504"/>
      <c r="AI119" s="619"/>
    </row>
    <row r="120" spans="3:35" s="3" customFormat="1" x14ac:dyDescent="0.3">
      <c r="C120" s="504"/>
      <c r="D120" s="4"/>
      <c r="E120" s="467"/>
      <c r="F120" s="467"/>
      <c r="G120" s="527"/>
      <c r="H120" s="527"/>
      <c r="I120" s="467"/>
      <c r="K120" s="633"/>
      <c r="L120" s="4"/>
      <c r="M120" s="467"/>
      <c r="N120" s="467"/>
      <c r="O120" s="467"/>
      <c r="P120" s="467"/>
      <c r="Q120" s="467"/>
      <c r="R120" s="4"/>
      <c r="S120" s="618"/>
      <c r="T120" s="4"/>
      <c r="U120" s="467"/>
      <c r="V120" s="467"/>
      <c r="W120" s="467"/>
      <c r="X120" s="467"/>
      <c r="Y120" s="504"/>
      <c r="AA120" s="619"/>
      <c r="AC120" s="467"/>
      <c r="AD120" s="467"/>
      <c r="AE120" s="467"/>
      <c r="AF120" s="467"/>
      <c r="AG120" s="504"/>
      <c r="AI120" s="619"/>
    </row>
    <row r="121" spans="3:35" s="3" customFormat="1" x14ac:dyDescent="0.3">
      <c r="C121" s="504"/>
      <c r="D121" s="4"/>
      <c r="E121" s="467"/>
      <c r="F121" s="467"/>
      <c r="G121" s="527"/>
      <c r="H121" s="527"/>
      <c r="I121" s="467"/>
      <c r="K121" s="633"/>
      <c r="L121" s="4"/>
      <c r="M121" s="467"/>
      <c r="N121" s="467"/>
      <c r="O121" s="467"/>
      <c r="P121" s="467"/>
      <c r="Q121" s="467"/>
      <c r="R121" s="4"/>
      <c r="S121" s="618"/>
      <c r="T121" s="4"/>
      <c r="U121" s="467"/>
      <c r="V121" s="467"/>
      <c r="W121" s="467"/>
      <c r="X121" s="467"/>
      <c r="Y121" s="504"/>
      <c r="AA121" s="619"/>
      <c r="AC121" s="467"/>
      <c r="AD121" s="467"/>
      <c r="AE121" s="467"/>
      <c r="AF121" s="467"/>
      <c r="AG121" s="504"/>
      <c r="AI121" s="619"/>
    </row>
    <row r="122" spans="3:35" s="3" customFormat="1" x14ac:dyDescent="0.3">
      <c r="C122" s="504"/>
      <c r="D122" s="4"/>
      <c r="E122" s="467"/>
      <c r="F122" s="467"/>
      <c r="G122" s="527"/>
      <c r="H122" s="527"/>
      <c r="I122" s="467"/>
      <c r="K122" s="633"/>
      <c r="L122" s="4"/>
      <c r="M122" s="467"/>
      <c r="N122" s="467"/>
      <c r="O122" s="467"/>
      <c r="P122" s="467"/>
      <c r="Q122" s="467"/>
      <c r="R122" s="4"/>
      <c r="S122" s="618"/>
      <c r="T122" s="4"/>
      <c r="U122" s="467"/>
      <c r="V122" s="467"/>
      <c r="W122" s="467"/>
      <c r="X122" s="467"/>
      <c r="Y122" s="504"/>
      <c r="AA122" s="619"/>
      <c r="AC122" s="467"/>
      <c r="AD122" s="467"/>
      <c r="AE122" s="467"/>
      <c r="AF122" s="467"/>
      <c r="AG122" s="504"/>
      <c r="AI122" s="619"/>
    </row>
    <row r="123" spans="3:35" s="3" customFormat="1" x14ac:dyDescent="0.3">
      <c r="C123" s="504"/>
      <c r="D123" s="4"/>
      <c r="E123" s="467"/>
      <c r="F123" s="467"/>
      <c r="G123" s="527"/>
      <c r="H123" s="527"/>
      <c r="I123" s="467"/>
      <c r="K123" s="633"/>
      <c r="L123" s="4"/>
      <c r="M123" s="467"/>
      <c r="N123" s="467"/>
      <c r="O123" s="467"/>
      <c r="P123" s="467"/>
      <c r="Q123" s="467"/>
      <c r="R123" s="4"/>
      <c r="S123" s="618"/>
      <c r="T123" s="4"/>
      <c r="U123" s="467"/>
      <c r="V123" s="467"/>
      <c r="W123" s="467"/>
      <c r="X123" s="467"/>
      <c r="Y123" s="504"/>
      <c r="AA123" s="619"/>
      <c r="AC123" s="467"/>
      <c r="AD123" s="467"/>
      <c r="AE123" s="467"/>
      <c r="AF123" s="467"/>
      <c r="AG123" s="504"/>
      <c r="AI123" s="619"/>
    </row>
    <row r="124" spans="3:35" s="3" customFormat="1" x14ac:dyDescent="0.3">
      <c r="C124" s="504"/>
      <c r="D124" s="4"/>
      <c r="E124" s="467"/>
      <c r="F124" s="467"/>
      <c r="G124" s="527"/>
      <c r="H124" s="527"/>
      <c r="I124" s="467"/>
      <c r="K124" s="633"/>
      <c r="L124" s="4"/>
      <c r="M124" s="467"/>
      <c r="N124" s="467"/>
      <c r="O124" s="467"/>
      <c r="P124" s="467"/>
      <c r="Q124" s="467"/>
      <c r="R124" s="4"/>
      <c r="S124" s="618"/>
      <c r="T124" s="4"/>
      <c r="U124" s="467"/>
      <c r="V124" s="467"/>
      <c r="W124" s="467"/>
      <c r="X124" s="467"/>
      <c r="Y124" s="504"/>
      <c r="AA124" s="619"/>
      <c r="AC124" s="467"/>
      <c r="AD124" s="467"/>
      <c r="AE124" s="467"/>
      <c r="AF124" s="467"/>
      <c r="AG124" s="504"/>
      <c r="AI124" s="619"/>
    </row>
    <row r="125" spans="3:35" s="3" customFormat="1" x14ac:dyDescent="0.3">
      <c r="C125" s="504"/>
      <c r="D125" s="4"/>
      <c r="E125" s="467"/>
      <c r="F125" s="467"/>
      <c r="G125" s="527"/>
      <c r="H125" s="527"/>
      <c r="I125" s="467"/>
      <c r="K125" s="633"/>
      <c r="L125" s="4"/>
      <c r="M125" s="467"/>
      <c r="N125" s="467"/>
      <c r="O125" s="467"/>
      <c r="P125" s="467"/>
      <c r="Q125" s="467"/>
      <c r="R125" s="4"/>
      <c r="S125" s="618"/>
      <c r="T125" s="4"/>
      <c r="U125" s="467"/>
      <c r="V125" s="467"/>
      <c r="W125" s="467"/>
      <c r="X125" s="467"/>
      <c r="Y125" s="504"/>
      <c r="AA125" s="619"/>
      <c r="AC125" s="467"/>
      <c r="AD125" s="467"/>
      <c r="AE125" s="467"/>
      <c r="AF125" s="467"/>
      <c r="AG125" s="504"/>
      <c r="AI125" s="619"/>
    </row>
    <row r="126" spans="3:35" s="3" customFormat="1" x14ac:dyDescent="0.3">
      <c r="C126" s="504"/>
      <c r="D126" s="4"/>
      <c r="E126" s="467"/>
      <c r="F126" s="467"/>
      <c r="G126" s="527"/>
      <c r="H126" s="527"/>
      <c r="I126" s="467"/>
      <c r="K126" s="633"/>
      <c r="L126" s="4"/>
      <c r="M126" s="467"/>
      <c r="N126" s="467"/>
      <c r="O126" s="467"/>
      <c r="P126" s="467"/>
      <c r="Q126" s="467"/>
      <c r="R126" s="4"/>
      <c r="S126" s="618"/>
      <c r="T126" s="4"/>
      <c r="U126" s="467"/>
      <c r="V126" s="467"/>
      <c r="W126" s="467"/>
      <c r="X126" s="467"/>
      <c r="Y126" s="504"/>
      <c r="AA126" s="619"/>
      <c r="AC126" s="467"/>
      <c r="AD126" s="467"/>
      <c r="AE126" s="467"/>
      <c r="AF126" s="467"/>
      <c r="AG126" s="504"/>
      <c r="AI126" s="619"/>
    </row>
    <row r="127" spans="3:35" s="3" customFormat="1" x14ac:dyDescent="0.3">
      <c r="C127" s="504"/>
      <c r="D127" s="4"/>
      <c r="E127" s="467"/>
      <c r="F127" s="467"/>
      <c r="G127" s="527"/>
      <c r="H127" s="527"/>
      <c r="I127" s="467"/>
      <c r="K127" s="633"/>
      <c r="L127" s="4"/>
      <c r="M127" s="467"/>
      <c r="N127" s="467"/>
      <c r="O127" s="467"/>
      <c r="P127" s="467"/>
      <c r="Q127" s="467"/>
      <c r="R127" s="4"/>
      <c r="S127" s="618"/>
      <c r="T127" s="4"/>
      <c r="U127" s="467"/>
      <c r="V127" s="467"/>
      <c r="W127" s="467"/>
      <c r="X127" s="467"/>
      <c r="Y127" s="504"/>
      <c r="AA127" s="619"/>
      <c r="AC127" s="467"/>
      <c r="AD127" s="467"/>
      <c r="AE127" s="467"/>
      <c r="AF127" s="467"/>
      <c r="AG127" s="504"/>
      <c r="AI127" s="619"/>
    </row>
    <row r="128" spans="3:35" s="3" customFormat="1" x14ac:dyDescent="0.3">
      <c r="C128" s="504"/>
      <c r="D128" s="4"/>
      <c r="E128" s="467"/>
      <c r="F128" s="467"/>
      <c r="G128" s="527"/>
      <c r="H128" s="527"/>
      <c r="I128" s="467"/>
      <c r="K128" s="633"/>
      <c r="L128" s="4"/>
      <c r="M128" s="467"/>
      <c r="N128" s="467"/>
      <c r="O128" s="467"/>
      <c r="P128" s="467"/>
      <c r="Q128" s="467"/>
      <c r="R128" s="4"/>
      <c r="S128" s="618"/>
      <c r="T128" s="4"/>
      <c r="U128" s="467"/>
      <c r="V128" s="467"/>
      <c r="W128" s="467"/>
      <c r="X128" s="467"/>
      <c r="Y128" s="504"/>
      <c r="AA128" s="619"/>
      <c r="AC128" s="467"/>
      <c r="AD128" s="467"/>
      <c r="AE128" s="467"/>
      <c r="AF128" s="467"/>
      <c r="AG128" s="504"/>
      <c r="AI128" s="619"/>
    </row>
    <row r="129" spans="3:35" s="3" customFormat="1" x14ac:dyDescent="0.3">
      <c r="C129" s="504"/>
      <c r="D129" s="4"/>
      <c r="E129" s="467"/>
      <c r="F129" s="467"/>
      <c r="G129" s="527"/>
      <c r="H129" s="527"/>
      <c r="I129" s="467"/>
      <c r="K129" s="633"/>
      <c r="L129" s="4"/>
      <c r="M129" s="467"/>
      <c r="N129" s="467"/>
      <c r="O129" s="467"/>
      <c r="P129" s="467"/>
      <c r="Q129" s="467"/>
      <c r="R129" s="4"/>
      <c r="S129" s="618"/>
      <c r="T129" s="4"/>
      <c r="U129" s="467"/>
      <c r="V129" s="467"/>
      <c r="W129" s="467"/>
      <c r="X129" s="467"/>
      <c r="Y129" s="504"/>
      <c r="AA129" s="619"/>
      <c r="AC129" s="467"/>
      <c r="AD129" s="467"/>
      <c r="AE129" s="467"/>
      <c r="AF129" s="467"/>
      <c r="AG129" s="504"/>
      <c r="AI129" s="619"/>
    </row>
    <row r="130" spans="3:35" s="3" customFormat="1" x14ac:dyDescent="0.3">
      <c r="C130" s="504"/>
      <c r="D130" s="4"/>
      <c r="E130" s="467"/>
      <c r="F130" s="467"/>
      <c r="G130" s="527"/>
      <c r="H130" s="527"/>
      <c r="I130" s="467"/>
      <c r="K130" s="633"/>
      <c r="L130" s="4"/>
      <c r="M130" s="467"/>
      <c r="N130" s="467"/>
      <c r="O130" s="467"/>
      <c r="P130" s="467"/>
      <c r="Q130" s="467"/>
      <c r="R130" s="4"/>
      <c r="S130" s="618"/>
      <c r="T130" s="4"/>
      <c r="U130" s="467"/>
      <c r="V130" s="467"/>
      <c r="W130" s="467"/>
      <c r="X130" s="467"/>
      <c r="Y130" s="504"/>
      <c r="AA130" s="619"/>
      <c r="AC130" s="467"/>
      <c r="AD130" s="467"/>
      <c r="AE130" s="467"/>
      <c r="AF130" s="467"/>
      <c r="AG130" s="504"/>
      <c r="AI130" s="619"/>
    </row>
    <row r="131" spans="3:35" s="3" customFormat="1" x14ac:dyDescent="0.3">
      <c r="C131" s="504"/>
      <c r="D131" s="4"/>
      <c r="E131" s="467"/>
      <c r="F131" s="467"/>
      <c r="G131" s="527"/>
      <c r="H131" s="527"/>
      <c r="I131" s="467"/>
      <c r="K131" s="633"/>
      <c r="L131" s="4"/>
      <c r="M131" s="467"/>
      <c r="N131" s="467"/>
      <c r="O131" s="467"/>
      <c r="P131" s="467"/>
      <c r="Q131" s="467"/>
      <c r="R131" s="4"/>
      <c r="S131" s="618"/>
      <c r="T131" s="4"/>
      <c r="U131" s="467"/>
      <c r="V131" s="467"/>
      <c r="W131" s="467"/>
      <c r="X131" s="467"/>
      <c r="Y131" s="504"/>
      <c r="AA131" s="619"/>
      <c r="AC131" s="467"/>
      <c r="AD131" s="467"/>
      <c r="AE131" s="467"/>
      <c r="AF131" s="467"/>
      <c r="AG131" s="504"/>
      <c r="AI131" s="619"/>
    </row>
    <row r="132" spans="3:35" s="3" customFormat="1" x14ac:dyDescent="0.3">
      <c r="C132" s="504"/>
      <c r="D132" s="4"/>
      <c r="E132" s="467"/>
      <c r="F132" s="467"/>
      <c r="G132" s="527"/>
      <c r="H132" s="527"/>
      <c r="I132" s="467"/>
      <c r="K132" s="633"/>
      <c r="L132" s="4"/>
      <c r="M132" s="467"/>
      <c r="N132" s="467"/>
      <c r="O132" s="467"/>
      <c r="P132" s="467"/>
      <c r="Q132" s="467"/>
      <c r="R132" s="4"/>
      <c r="S132" s="618"/>
      <c r="T132" s="4"/>
      <c r="U132" s="467"/>
      <c r="V132" s="467"/>
      <c r="W132" s="467"/>
      <c r="X132" s="467"/>
      <c r="Y132" s="504"/>
      <c r="AA132" s="619"/>
      <c r="AC132" s="467"/>
      <c r="AD132" s="467"/>
      <c r="AE132" s="467"/>
      <c r="AF132" s="467"/>
      <c r="AG132" s="504"/>
      <c r="AI132" s="619"/>
    </row>
    <row r="133" spans="3:35" s="3" customFormat="1" x14ac:dyDescent="0.3">
      <c r="C133" s="504"/>
      <c r="D133" s="4"/>
      <c r="E133" s="467"/>
      <c r="F133" s="467"/>
      <c r="G133" s="527"/>
      <c r="H133" s="527"/>
      <c r="I133" s="467"/>
      <c r="K133" s="633"/>
      <c r="L133" s="4"/>
      <c r="M133" s="467"/>
      <c r="N133" s="467"/>
      <c r="O133" s="467"/>
      <c r="P133" s="467"/>
      <c r="Q133" s="467"/>
      <c r="R133" s="4"/>
      <c r="S133" s="618"/>
      <c r="T133" s="4"/>
      <c r="U133" s="467"/>
      <c r="V133" s="467"/>
      <c r="W133" s="467"/>
      <c r="X133" s="467"/>
      <c r="Y133" s="504"/>
      <c r="AA133" s="619"/>
      <c r="AC133" s="467"/>
      <c r="AD133" s="467"/>
      <c r="AE133" s="467"/>
      <c r="AF133" s="467"/>
      <c r="AG133" s="504"/>
      <c r="AI133" s="619"/>
    </row>
    <row r="134" spans="3:35" s="3" customFormat="1" x14ac:dyDescent="0.3">
      <c r="C134" s="504"/>
      <c r="D134" s="4"/>
      <c r="E134" s="467"/>
      <c r="F134" s="467"/>
      <c r="G134" s="527"/>
      <c r="H134" s="527"/>
      <c r="I134" s="467"/>
      <c r="K134" s="633"/>
      <c r="L134" s="4"/>
      <c r="M134" s="467"/>
      <c r="N134" s="467"/>
      <c r="O134" s="467"/>
      <c r="P134" s="467"/>
      <c r="Q134" s="467"/>
      <c r="R134" s="4"/>
      <c r="S134" s="618"/>
      <c r="T134" s="4"/>
      <c r="U134" s="467"/>
      <c r="V134" s="467"/>
      <c r="W134" s="467"/>
      <c r="X134" s="467"/>
      <c r="Y134" s="504"/>
      <c r="AA134" s="619"/>
      <c r="AC134" s="467"/>
      <c r="AD134" s="467"/>
      <c r="AE134" s="467"/>
      <c r="AF134" s="467"/>
      <c r="AG134" s="504"/>
      <c r="AI134" s="619"/>
    </row>
    <row r="135" spans="3:35" s="3" customFormat="1" x14ac:dyDescent="0.3">
      <c r="C135" s="504"/>
      <c r="D135" s="4"/>
      <c r="E135" s="467"/>
      <c r="F135" s="467"/>
      <c r="G135" s="527"/>
      <c r="H135" s="527"/>
      <c r="I135" s="467"/>
      <c r="K135" s="633"/>
      <c r="L135" s="4"/>
      <c r="M135" s="467"/>
      <c r="N135" s="467"/>
      <c r="O135" s="467"/>
      <c r="P135" s="467"/>
      <c r="Q135" s="467"/>
      <c r="R135" s="4"/>
      <c r="S135" s="618"/>
      <c r="T135" s="4"/>
      <c r="U135" s="467"/>
      <c r="V135" s="467"/>
      <c r="W135" s="467"/>
      <c r="X135" s="467"/>
      <c r="Y135" s="504"/>
      <c r="AA135" s="619"/>
      <c r="AC135" s="467"/>
      <c r="AD135" s="467"/>
      <c r="AE135" s="467"/>
      <c r="AF135" s="467"/>
      <c r="AG135" s="504"/>
      <c r="AI135" s="619"/>
    </row>
    <row r="136" spans="3:35" s="3" customFormat="1" x14ac:dyDescent="0.3">
      <c r="C136" s="504"/>
      <c r="D136" s="4"/>
      <c r="E136" s="467"/>
      <c r="F136" s="467"/>
      <c r="G136" s="527"/>
      <c r="H136" s="527"/>
      <c r="I136" s="467"/>
      <c r="K136" s="633"/>
      <c r="L136" s="4"/>
      <c r="M136" s="467"/>
      <c r="N136" s="467"/>
      <c r="O136" s="467"/>
      <c r="P136" s="467"/>
      <c r="Q136" s="467"/>
      <c r="R136" s="4"/>
      <c r="S136" s="618"/>
      <c r="T136" s="4"/>
      <c r="U136" s="467"/>
      <c r="V136" s="467"/>
      <c r="W136" s="467"/>
      <c r="X136" s="467"/>
      <c r="Y136" s="504"/>
      <c r="AA136" s="619"/>
      <c r="AC136" s="467"/>
      <c r="AD136" s="467"/>
      <c r="AE136" s="467"/>
      <c r="AF136" s="467"/>
      <c r="AG136" s="504"/>
      <c r="AI136" s="619"/>
    </row>
    <row r="137" spans="3:35" s="3" customFormat="1" x14ac:dyDescent="0.3">
      <c r="C137" s="504"/>
      <c r="D137" s="4"/>
      <c r="E137" s="467"/>
      <c r="F137" s="467"/>
      <c r="G137" s="527"/>
      <c r="H137" s="527"/>
      <c r="I137" s="467"/>
      <c r="K137" s="633"/>
      <c r="L137" s="4"/>
      <c r="M137" s="467"/>
      <c r="N137" s="467"/>
      <c r="O137" s="467"/>
      <c r="P137" s="467"/>
      <c r="Q137" s="467"/>
      <c r="R137" s="4"/>
      <c r="S137" s="618"/>
      <c r="T137" s="4"/>
      <c r="U137" s="467"/>
      <c r="V137" s="467"/>
      <c r="W137" s="467"/>
      <c r="X137" s="467"/>
      <c r="Y137" s="504"/>
      <c r="AA137" s="619"/>
      <c r="AC137" s="467"/>
      <c r="AD137" s="467"/>
      <c r="AE137" s="467"/>
      <c r="AF137" s="467"/>
      <c r="AG137" s="504"/>
      <c r="AI137" s="619"/>
    </row>
    <row r="138" spans="3:35" s="3" customFormat="1" x14ac:dyDescent="0.3">
      <c r="C138" s="504"/>
      <c r="D138" s="4"/>
      <c r="E138" s="467"/>
      <c r="F138" s="467"/>
      <c r="G138" s="527"/>
      <c r="H138" s="527"/>
      <c r="I138" s="467"/>
      <c r="K138" s="633"/>
      <c r="L138" s="4"/>
      <c r="M138" s="467"/>
      <c r="N138" s="467"/>
      <c r="O138" s="467"/>
      <c r="P138" s="467"/>
      <c r="Q138" s="467"/>
      <c r="R138" s="4"/>
      <c r="S138" s="618"/>
      <c r="T138" s="4"/>
      <c r="U138" s="467"/>
      <c r="V138" s="467"/>
      <c r="W138" s="467"/>
      <c r="X138" s="467"/>
      <c r="Y138" s="504"/>
      <c r="AA138" s="619"/>
      <c r="AC138" s="467"/>
      <c r="AD138" s="467"/>
      <c r="AE138" s="467"/>
      <c r="AF138" s="467"/>
      <c r="AG138" s="504"/>
      <c r="AI138" s="619"/>
    </row>
    <row r="139" spans="3:35" s="3" customFormat="1" x14ac:dyDescent="0.3">
      <c r="C139" s="504"/>
      <c r="D139" s="4"/>
      <c r="E139" s="467"/>
      <c r="F139" s="467"/>
      <c r="G139" s="527"/>
      <c r="H139" s="527"/>
      <c r="I139" s="467"/>
      <c r="K139" s="633"/>
      <c r="L139" s="4"/>
      <c r="M139" s="467"/>
      <c r="N139" s="467"/>
      <c r="O139" s="467"/>
      <c r="P139" s="467"/>
      <c r="Q139" s="467"/>
      <c r="R139" s="4"/>
      <c r="S139" s="618"/>
      <c r="T139" s="4"/>
      <c r="U139" s="467"/>
      <c r="V139" s="467"/>
      <c r="W139" s="467"/>
      <c r="X139" s="467"/>
      <c r="Y139" s="504"/>
      <c r="AA139" s="619"/>
      <c r="AC139" s="467"/>
      <c r="AD139" s="467"/>
      <c r="AE139" s="467"/>
      <c r="AF139" s="467"/>
      <c r="AG139" s="504"/>
      <c r="AI139" s="619"/>
    </row>
    <row r="140" spans="3:35" s="3" customFormat="1" x14ac:dyDescent="0.3">
      <c r="C140" s="504"/>
      <c r="D140" s="4"/>
      <c r="E140" s="467"/>
      <c r="F140" s="467"/>
      <c r="G140" s="527"/>
      <c r="H140" s="527"/>
      <c r="I140" s="467"/>
      <c r="K140" s="633"/>
      <c r="L140" s="4"/>
      <c r="M140" s="467"/>
      <c r="N140" s="467"/>
      <c r="O140" s="467"/>
      <c r="P140" s="467"/>
      <c r="Q140" s="467"/>
      <c r="R140" s="4"/>
      <c r="S140" s="618"/>
      <c r="T140" s="4"/>
      <c r="U140" s="467"/>
      <c r="V140" s="467"/>
      <c r="W140" s="467"/>
      <c r="X140" s="467"/>
      <c r="Y140" s="504"/>
      <c r="AA140" s="619"/>
      <c r="AC140" s="467"/>
      <c r="AD140" s="467"/>
      <c r="AE140" s="467"/>
      <c r="AF140" s="467"/>
      <c r="AG140" s="504"/>
      <c r="AI140" s="619"/>
    </row>
    <row r="141" spans="3:35" s="3" customFormat="1" x14ac:dyDescent="0.3">
      <c r="C141" s="504"/>
      <c r="D141" s="4"/>
      <c r="E141" s="467"/>
      <c r="F141" s="467"/>
      <c r="G141" s="527"/>
      <c r="H141" s="527"/>
      <c r="I141" s="467"/>
      <c r="K141" s="633"/>
      <c r="L141" s="4"/>
      <c r="M141" s="467"/>
      <c r="N141" s="467"/>
      <c r="O141" s="467"/>
      <c r="P141" s="467"/>
      <c r="Q141" s="467"/>
      <c r="R141" s="4"/>
      <c r="S141" s="618"/>
      <c r="T141" s="4"/>
      <c r="U141" s="467"/>
      <c r="V141" s="467"/>
      <c r="W141" s="467"/>
      <c r="X141" s="467"/>
      <c r="Y141" s="504"/>
      <c r="AA141" s="619"/>
      <c r="AC141" s="467"/>
      <c r="AD141" s="467"/>
      <c r="AE141" s="467"/>
      <c r="AF141" s="467"/>
      <c r="AG141" s="504"/>
      <c r="AI141" s="619"/>
    </row>
    <row r="142" spans="3:35" s="3" customFormat="1" x14ac:dyDescent="0.3">
      <c r="C142" s="504"/>
      <c r="D142" s="4"/>
      <c r="E142" s="467"/>
      <c r="F142" s="467"/>
      <c r="G142" s="527"/>
      <c r="H142" s="527"/>
      <c r="I142" s="467"/>
      <c r="K142" s="633"/>
      <c r="L142" s="4"/>
      <c r="M142" s="467"/>
      <c r="N142" s="467"/>
      <c r="O142" s="467"/>
      <c r="P142" s="467"/>
      <c r="Q142" s="467"/>
      <c r="R142" s="4"/>
      <c r="S142" s="618"/>
      <c r="T142" s="4"/>
      <c r="U142" s="467"/>
      <c r="V142" s="467"/>
      <c r="W142" s="467"/>
      <c r="X142" s="467"/>
      <c r="Y142" s="504"/>
      <c r="AA142" s="619"/>
      <c r="AC142" s="467"/>
      <c r="AD142" s="467"/>
      <c r="AE142" s="467"/>
      <c r="AF142" s="467"/>
      <c r="AG142" s="504"/>
      <c r="AI142" s="619"/>
    </row>
    <row r="143" spans="3:35" s="3" customFormat="1" x14ac:dyDescent="0.3">
      <c r="C143" s="504"/>
      <c r="D143" s="4"/>
      <c r="E143" s="467"/>
      <c r="F143" s="467"/>
      <c r="G143" s="527"/>
      <c r="H143" s="527"/>
      <c r="I143" s="467"/>
      <c r="K143" s="633"/>
      <c r="L143" s="4"/>
      <c r="M143" s="467"/>
      <c r="N143" s="467"/>
      <c r="O143" s="467"/>
      <c r="P143" s="467"/>
      <c r="Q143" s="467"/>
      <c r="R143" s="4"/>
      <c r="S143" s="618"/>
      <c r="T143" s="4"/>
      <c r="U143" s="467"/>
      <c r="V143" s="467"/>
      <c r="W143" s="467"/>
      <c r="X143" s="467"/>
      <c r="Y143" s="504"/>
      <c r="AA143" s="619"/>
      <c r="AC143" s="467"/>
      <c r="AD143" s="467"/>
      <c r="AE143" s="467"/>
      <c r="AF143" s="467"/>
      <c r="AG143" s="504"/>
      <c r="AI143" s="619"/>
    </row>
    <row r="144" spans="3:35" s="3" customFormat="1" x14ac:dyDescent="0.3">
      <c r="C144" s="504"/>
      <c r="D144" s="4"/>
      <c r="E144" s="467"/>
      <c r="F144" s="467"/>
      <c r="G144" s="527"/>
      <c r="H144" s="527"/>
      <c r="I144" s="467"/>
      <c r="K144" s="633"/>
      <c r="L144" s="4"/>
      <c r="M144" s="467"/>
      <c r="N144" s="467"/>
      <c r="O144" s="467"/>
      <c r="P144" s="467"/>
      <c r="Q144" s="467"/>
      <c r="R144" s="4"/>
      <c r="S144" s="618"/>
      <c r="T144" s="4"/>
      <c r="U144" s="467"/>
      <c r="V144" s="467"/>
      <c r="W144" s="467"/>
      <c r="X144" s="467"/>
      <c r="Y144" s="504"/>
      <c r="AA144" s="619"/>
      <c r="AC144" s="467"/>
      <c r="AD144" s="467"/>
      <c r="AE144" s="467"/>
      <c r="AF144" s="467"/>
      <c r="AG144" s="504"/>
      <c r="AI144" s="619"/>
    </row>
    <row r="145" spans="3:35" s="3" customFormat="1" x14ac:dyDescent="0.3">
      <c r="C145" s="504"/>
      <c r="D145" s="4"/>
      <c r="E145" s="467"/>
      <c r="F145" s="467"/>
      <c r="G145" s="527"/>
      <c r="H145" s="527"/>
      <c r="I145" s="467"/>
      <c r="K145" s="633"/>
      <c r="L145" s="4"/>
      <c r="M145" s="467"/>
      <c r="N145" s="467"/>
      <c r="O145" s="467"/>
      <c r="P145" s="467"/>
      <c r="Q145" s="467"/>
      <c r="R145" s="4"/>
      <c r="S145" s="618"/>
      <c r="T145" s="4"/>
      <c r="U145" s="467"/>
      <c r="V145" s="467"/>
      <c r="W145" s="467"/>
      <c r="X145" s="467"/>
      <c r="Y145" s="504"/>
      <c r="AA145" s="619"/>
      <c r="AC145" s="467"/>
      <c r="AD145" s="467"/>
      <c r="AE145" s="467"/>
      <c r="AF145" s="467"/>
      <c r="AG145" s="504"/>
      <c r="AI145" s="619"/>
    </row>
    <row r="146" spans="3:35" s="3" customFormat="1" x14ac:dyDescent="0.3">
      <c r="C146" s="504"/>
      <c r="D146" s="4"/>
      <c r="E146" s="467"/>
      <c r="F146" s="467"/>
      <c r="G146" s="527"/>
      <c r="H146" s="527"/>
      <c r="I146" s="467"/>
      <c r="K146" s="633"/>
      <c r="L146" s="4"/>
      <c r="M146" s="467"/>
      <c r="N146" s="467"/>
      <c r="O146" s="467"/>
      <c r="P146" s="467"/>
      <c r="Q146" s="467"/>
      <c r="R146" s="4"/>
      <c r="S146" s="618"/>
      <c r="T146" s="4"/>
      <c r="U146" s="467"/>
      <c r="V146" s="467"/>
      <c r="W146" s="467"/>
      <c r="X146" s="467"/>
      <c r="Y146" s="504"/>
      <c r="AA146" s="619"/>
      <c r="AC146" s="467"/>
      <c r="AD146" s="467"/>
      <c r="AE146" s="467"/>
      <c r="AF146" s="467"/>
      <c r="AG146" s="504"/>
      <c r="AI146" s="619"/>
    </row>
    <row r="147" spans="3:35" s="3" customFormat="1" x14ac:dyDescent="0.3">
      <c r="C147" s="504"/>
      <c r="D147" s="4"/>
      <c r="E147" s="467"/>
      <c r="F147" s="467"/>
      <c r="G147" s="527"/>
      <c r="H147" s="527"/>
      <c r="I147" s="467"/>
      <c r="K147" s="633"/>
      <c r="L147" s="4"/>
      <c r="M147" s="467"/>
      <c r="N147" s="467"/>
      <c r="O147" s="467"/>
      <c r="P147" s="467"/>
      <c r="Q147" s="467"/>
      <c r="R147" s="4"/>
      <c r="S147" s="618"/>
      <c r="T147" s="4"/>
      <c r="U147" s="467"/>
      <c r="V147" s="467"/>
      <c r="W147" s="467"/>
      <c r="X147" s="467"/>
      <c r="Y147" s="504"/>
      <c r="AA147" s="619"/>
      <c r="AC147" s="467"/>
      <c r="AD147" s="467"/>
      <c r="AE147" s="467"/>
      <c r="AF147" s="467"/>
      <c r="AG147" s="504"/>
      <c r="AI147" s="619"/>
    </row>
    <row r="148" spans="3:35" s="3" customFormat="1" x14ac:dyDescent="0.3">
      <c r="C148" s="504"/>
      <c r="D148" s="4"/>
      <c r="E148" s="467"/>
      <c r="F148" s="467"/>
      <c r="G148" s="527"/>
      <c r="H148" s="527"/>
      <c r="I148" s="467"/>
      <c r="K148" s="633"/>
      <c r="L148" s="4"/>
      <c r="M148" s="467"/>
      <c r="N148" s="467"/>
      <c r="O148" s="467"/>
      <c r="P148" s="467"/>
      <c r="Q148" s="467"/>
      <c r="R148" s="4"/>
      <c r="S148" s="618"/>
      <c r="T148" s="4"/>
      <c r="U148" s="467"/>
      <c r="V148" s="467"/>
      <c r="W148" s="467"/>
      <c r="X148" s="467"/>
      <c r="Y148" s="504"/>
      <c r="AA148" s="619"/>
      <c r="AC148" s="467"/>
      <c r="AD148" s="467"/>
      <c r="AE148" s="467"/>
      <c r="AF148" s="467"/>
      <c r="AG148" s="504"/>
      <c r="AI148" s="619"/>
    </row>
    <row r="149" spans="3:35" s="3" customFormat="1" x14ac:dyDescent="0.3">
      <c r="C149" s="504"/>
      <c r="D149" s="4"/>
      <c r="E149" s="467"/>
      <c r="F149" s="467"/>
      <c r="G149" s="527"/>
      <c r="H149" s="527"/>
      <c r="I149" s="467"/>
      <c r="K149" s="633"/>
      <c r="L149" s="4"/>
      <c r="M149" s="467"/>
      <c r="N149" s="467"/>
      <c r="O149" s="467"/>
      <c r="P149" s="467"/>
      <c r="Q149" s="467"/>
      <c r="R149" s="4"/>
      <c r="S149" s="618"/>
      <c r="T149" s="4"/>
      <c r="U149" s="467"/>
      <c r="V149" s="467"/>
      <c r="W149" s="467"/>
      <c r="X149" s="467"/>
      <c r="Y149" s="504"/>
      <c r="AA149" s="619"/>
      <c r="AC149" s="467"/>
      <c r="AD149" s="467"/>
      <c r="AE149" s="467"/>
      <c r="AF149" s="467"/>
      <c r="AG149" s="504"/>
      <c r="AI149" s="619"/>
    </row>
    <row r="150" spans="3:35" s="3" customFormat="1" x14ac:dyDescent="0.3">
      <c r="C150" s="504"/>
      <c r="D150" s="4"/>
      <c r="E150" s="467"/>
      <c r="F150" s="467"/>
      <c r="G150" s="527"/>
      <c r="H150" s="527"/>
      <c r="I150" s="467"/>
      <c r="K150" s="633"/>
      <c r="L150" s="4"/>
      <c r="M150" s="467"/>
      <c r="N150" s="467"/>
      <c r="O150" s="467"/>
      <c r="P150" s="467"/>
      <c r="Q150" s="467"/>
      <c r="R150" s="4"/>
      <c r="S150" s="618"/>
      <c r="T150" s="4"/>
      <c r="U150" s="467"/>
      <c r="V150" s="467"/>
      <c r="W150" s="467"/>
      <c r="X150" s="467"/>
      <c r="Y150" s="504"/>
      <c r="AA150" s="619"/>
      <c r="AC150" s="467"/>
      <c r="AD150" s="467"/>
      <c r="AE150" s="467"/>
      <c r="AF150" s="467"/>
      <c r="AG150" s="504"/>
      <c r="AI150" s="619"/>
    </row>
    <row r="151" spans="3:35" s="3" customFormat="1" x14ac:dyDescent="0.3">
      <c r="C151" s="504"/>
      <c r="D151" s="4"/>
      <c r="E151" s="467"/>
      <c r="F151" s="467"/>
      <c r="G151" s="527"/>
      <c r="H151" s="527"/>
      <c r="I151" s="467"/>
      <c r="K151" s="633"/>
      <c r="L151" s="4"/>
      <c r="M151" s="467"/>
      <c r="N151" s="467"/>
      <c r="O151" s="467"/>
      <c r="P151" s="467"/>
      <c r="Q151" s="467"/>
      <c r="R151" s="4"/>
      <c r="S151" s="618"/>
      <c r="T151" s="4"/>
      <c r="U151" s="467"/>
      <c r="V151" s="467"/>
      <c r="W151" s="467"/>
      <c r="X151" s="467"/>
      <c r="Y151" s="504"/>
      <c r="AA151" s="619"/>
      <c r="AC151" s="467"/>
      <c r="AD151" s="467"/>
      <c r="AE151" s="467"/>
      <c r="AF151" s="467"/>
      <c r="AG151" s="504"/>
      <c r="AI151" s="619"/>
    </row>
    <row r="152" spans="3:35" s="3" customFormat="1" x14ac:dyDescent="0.3">
      <c r="C152" s="504"/>
      <c r="D152" s="4"/>
      <c r="E152" s="467"/>
      <c r="F152" s="467"/>
      <c r="G152" s="527"/>
      <c r="H152" s="527"/>
      <c r="I152" s="467"/>
      <c r="K152" s="633"/>
      <c r="L152" s="4"/>
      <c r="M152" s="467"/>
      <c r="N152" s="467"/>
      <c r="O152" s="467"/>
      <c r="P152" s="467"/>
      <c r="Q152" s="467"/>
      <c r="R152" s="4"/>
      <c r="S152" s="618"/>
      <c r="T152" s="4"/>
      <c r="U152" s="467"/>
      <c r="V152" s="467"/>
      <c r="W152" s="467"/>
      <c r="X152" s="467"/>
      <c r="Y152" s="504"/>
      <c r="AA152" s="619"/>
      <c r="AC152" s="467"/>
      <c r="AD152" s="467"/>
      <c r="AE152" s="467"/>
      <c r="AF152" s="467"/>
      <c r="AG152" s="504"/>
      <c r="AI152" s="619"/>
    </row>
    <row r="153" spans="3:35" s="3" customFormat="1" x14ac:dyDescent="0.3">
      <c r="C153" s="504"/>
      <c r="D153" s="4"/>
      <c r="E153" s="467"/>
      <c r="F153" s="467"/>
      <c r="G153" s="527"/>
      <c r="H153" s="527"/>
      <c r="I153" s="467"/>
      <c r="K153" s="633"/>
      <c r="L153" s="4"/>
      <c r="M153" s="467"/>
      <c r="N153" s="467"/>
      <c r="O153" s="467"/>
      <c r="P153" s="467"/>
      <c r="Q153" s="467"/>
      <c r="R153" s="4"/>
      <c r="S153" s="618"/>
      <c r="T153" s="4"/>
      <c r="U153" s="467"/>
      <c r="V153" s="467"/>
      <c r="W153" s="467"/>
      <c r="X153" s="467"/>
      <c r="Y153" s="504"/>
      <c r="AA153" s="619"/>
      <c r="AC153" s="467"/>
      <c r="AD153" s="467"/>
      <c r="AE153" s="467"/>
      <c r="AF153" s="467"/>
      <c r="AG153" s="504"/>
      <c r="AI153" s="619"/>
    </row>
    <row r="154" spans="3:35" s="3" customFormat="1" x14ac:dyDescent="0.3">
      <c r="C154" s="504"/>
      <c r="D154" s="4"/>
      <c r="E154" s="467"/>
      <c r="F154" s="467"/>
      <c r="G154" s="527"/>
      <c r="H154" s="527"/>
      <c r="I154" s="467"/>
      <c r="K154" s="633"/>
      <c r="L154" s="4"/>
      <c r="M154" s="467"/>
      <c r="N154" s="467"/>
      <c r="O154" s="467"/>
      <c r="P154" s="467"/>
      <c r="Q154" s="467"/>
      <c r="R154" s="4"/>
      <c r="S154" s="618"/>
      <c r="T154" s="4"/>
      <c r="U154" s="467"/>
      <c r="V154" s="467"/>
      <c r="W154" s="467"/>
      <c r="X154" s="467"/>
      <c r="Y154" s="504"/>
      <c r="AA154" s="619"/>
      <c r="AC154" s="467"/>
      <c r="AD154" s="467"/>
      <c r="AE154" s="467"/>
      <c r="AF154" s="467"/>
      <c r="AG154" s="504"/>
      <c r="AI154" s="619"/>
    </row>
    <row r="155" spans="3:35" s="3" customFormat="1" x14ac:dyDescent="0.3">
      <c r="C155" s="504"/>
      <c r="D155" s="4"/>
      <c r="E155" s="467"/>
      <c r="F155" s="467"/>
      <c r="G155" s="527"/>
      <c r="H155" s="527"/>
      <c r="I155" s="467"/>
      <c r="K155" s="633"/>
      <c r="L155" s="4"/>
      <c r="M155" s="467"/>
      <c r="N155" s="467"/>
      <c r="O155" s="467"/>
      <c r="P155" s="467"/>
      <c r="Q155" s="467"/>
      <c r="R155" s="4"/>
      <c r="S155" s="618"/>
      <c r="T155" s="4"/>
      <c r="U155" s="467"/>
      <c r="V155" s="467"/>
      <c r="W155" s="467"/>
      <c r="X155" s="467"/>
      <c r="Y155" s="504"/>
      <c r="AA155" s="619"/>
      <c r="AC155" s="467"/>
      <c r="AD155" s="467"/>
      <c r="AE155" s="467"/>
      <c r="AF155" s="467"/>
      <c r="AG155" s="504"/>
      <c r="AI155" s="619"/>
    </row>
    <row r="156" spans="3:35" s="3" customFormat="1" x14ac:dyDescent="0.3">
      <c r="C156" s="504"/>
      <c r="D156" s="4"/>
      <c r="E156" s="467"/>
      <c r="F156" s="467"/>
      <c r="G156" s="527"/>
      <c r="H156" s="527"/>
      <c r="I156" s="467"/>
      <c r="K156" s="633"/>
      <c r="L156" s="4"/>
      <c r="M156" s="467"/>
      <c r="N156" s="467"/>
      <c r="O156" s="467"/>
      <c r="P156" s="467"/>
      <c r="Q156" s="467"/>
      <c r="R156" s="4"/>
      <c r="S156" s="618"/>
      <c r="T156" s="4"/>
      <c r="U156" s="467"/>
      <c r="V156" s="467"/>
      <c r="W156" s="467"/>
      <c r="X156" s="467"/>
      <c r="Y156" s="504"/>
      <c r="AA156" s="619"/>
      <c r="AC156" s="467"/>
      <c r="AD156" s="467"/>
      <c r="AE156" s="467"/>
      <c r="AF156" s="467"/>
      <c r="AG156" s="504"/>
      <c r="AI156" s="619"/>
    </row>
    <row r="157" spans="3:35" s="3" customFormat="1" x14ac:dyDescent="0.3">
      <c r="C157" s="504"/>
      <c r="D157" s="4"/>
      <c r="E157" s="467"/>
      <c r="F157" s="467"/>
      <c r="G157" s="527"/>
      <c r="H157" s="527"/>
      <c r="I157" s="467"/>
      <c r="K157" s="633"/>
      <c r="L157" s="4"/>
      <c r="M157" s="467"/>
      <c r="N157" s="467"/>
      <c r="O157" s="467"/>
      <c r="P157" s="467"/>
      <c r="Q157" s="467"/>
      <c r="R157" s="4"/>
      <c r="S157" s="618"/>
      <c r="T157" s="4"/>
      <c r="U157" s="467"/>
      <c r="V157" s="467"/>
      <c r="W157" s="467"/>
      <c r="X157" s="467"/>
      <c r="Y157" s="504"/>
      <c r="AA157" s="619"/>
      <c r="AC157" s="467"/>
      <c r="AD157" s="467"/>
      <c r="AE157" s="467"/>
      <c r="AF157" s="467"/>
      <c r="AG157" s="504"/>
      <c r="AI157" s="619"/>
    </row>
    <row r="158" spans="3:35" s="3" customFormat="1" x14ac:dyDescent="0.3">
      <c r="C158" s="504"/>
      <c r="D158" s="4"/>
      <c r="E158" s="467"/>
      <c r="F158" s="467"/>
      <c r="G158" s="527"/>
      <c r="H158" s="527"/>
      <c r="I158" s="467"/>
      <c r="K158" s="633"/>
      <c r="L158" s="4"/>
      <c r="M158" s="467"/>
      <c r="N158" s="467"/>
      <c r="O158" s="467"/>
      <c r="P158" s="467"/>
      <c r="Q158" s="467"/>
      <c r="R158" s="4"/>
      <c r="S158" s="618"/>
      <c r="T158" s="4"/>
      <c r="U158" s="467"/>
      <c r="V158" s="467"/>
      <c r="W158" s="467"/>
      <c r="X158" s="467"/>
      <c r="Y158" s="504"/>
      <c r="AA158" s="619"/>
      <c r="AC158" s="467"/>
      <c r="AD158" s="467"/>
      <c r="AE158" s="467"/>
      <c r="AF158" s="467"/>
      <c r="AG158" s="504"/>
      <c r="AI158" s="619"/>
    </row>
    <row r="159" spans="3:35" s="3" customFormat="1" x14ac:dyDescent="0.3">
      <c r="C159" s="504"/>
      <c r="D159" s="4"/>
      <c r="E159" s="467"/>
      <c r="F159" s="467"/>
      <c r="G159" s="527"/>
      <c r="H159" s="527"/>
      <c r="I159" s="467"/>
      <c r="K159" s="633"/>
      <c r="L159" s="4"/>
      <c r="M159" s="467"/>
      <c r="N159" s="467"/>
      <c r="O159" s="467"/>
      <c r="P159" s="467"/>
      <c r="Q159" s="467"/>
      <c r="R159" s="4"/>
      <c r="S159" s="618"/>
      <c r="T159" s="4"/>
      <c r="U159" s="467"/>
      <c r="V159" s="467"/>
      <c r="W159" s="467"/>
      <c r="X159" s="467"/>
      <c r="Y159" s="504"/>
      <c r="AA159" s="619"/>
      <c r="AC159" s="467"/>
      <c r="AD159" s="467"/>
      <c r="AE159" s="467"/>
      <c r="AF159" s="467"/>
      <c r="AG159" s="504"/>
      <c r="AI159" s="619"/>
    </row>
    <row r="160" spans="3:35" s="3" customFormat="1" x14ac:dyDescent="0.3">
      <c r="C160" s="504"/>
      <c r="D160" s="4"/>
      <c r="E160" s="467"/>
      <c r="F160" s="467"/>
      <c r="G160" s="527"/>
      <c r="H160" s="527"/>
      <c r="I160" s="467"/>
      <c r="K160" s="633"/>
      <c r="L160" s="4"/>
      <c r="M160" s="467"/>
      <c r="N160" s="467"/>
      <c r="O160" s="467"/>
      <c r="P160" s="467"/>
      <c r="Q160" s="467"/>
      <c r="R160" s="4"/>
      <c r="S160" s="618"/>
      <c r="T160" s="4"/>
      <c r="U160" s="467"/>
      <c r="V160" s="467"/>
      <c r="W160" s="467"/>
      <c r="X160" s="467"/>
      <c r="Y160" s="504"/>
      <c r="AA160" s="619"/>
      <c r="AC160" s="467"/>
      <c r="AD160" s="467"/>
      <c r="AE160" s="467"/>
      <c r="AF160" s="467"/>
      <c r="AG160" s="504"/>
      <c r="AI160" s="619"/>
    </row>
    <row r="161" spans="3:35" s="3" customFormat="1" x14ac:dyDescent="0.3">
      <c r="C161" s="504"/>
      <c r="D161" s="4"/>
      <c r="E161" s="467"/>
      <c r="F161" s="467"/>
      <c r="G161" s="527"/>
      <c r="H161" s="527"/>
      <c r="I161" s="467"/>
      <c r="K161" s="633"/>
      <c r="L161" s="4"/>
      <c r="M161" s="467"/>
      <c r="N161" s="467"/>
      <c r="O161" s="467"/>
      <c r="P161" s="467"/>
      <c r="Q161" s="467"/>
      <c r="R161" s="4"/>
      <c r="S161" s="618"/>
      <c r="T161" s="4"/>
      <c r="U161" s="467"/>
      <c r="V161" s="467"/>
      <c r="W161" s="467"/>
      <c r="X161" s="467"/>
      <c r="Y161" s="504"/>
      <c r="AA161" s="619"/>
      <c r="AC161" s="467"/>
      <c r="AD161" s="467"/>
      <c r="AE161" s="467"/>
      <c r="AF161" s="467"/>
      <c r="AG161" s="504"/>
      <c r="AI161" s="619"/>
    </row>
    <row r="162" spans="3:35" s="3" customFormat="1" x14ac:dyDescent="0.3">
      <c r="C162" s="504"/>
      <c r="D162" s="4"/>
      <c r="E162" s="467"/>
      <c r="F162" s="467"/>
      <c r="G162" s="527"/>
      <c r="H162" s="527"/>
      <c r="I162" s="467"/>
      <c r="K162" s="633"/>
      <c r="L162" s="4"/>
      <c r="M162" s="467"/>
      <c r="N162" s="467"/>
      <c r="O162" s="467"/>
      <c r="P162" s="467"/>
      <c r="Q162" s="467"/>
      <c r="R162" s="4"/>
      <c r="S162" s="618"/>
      <c r="T162" s="4"/>
      <c r="U162" s="467"/>
      <c r="V162" s="467"/>
      <c r="W162" s="467"/>
      <c r="X162" s="467"/>
      <c r="Y162" s="504"/>
      <c r="AA162" s="619"/>
      <c r="AC162" s="467"/>
      <c r="AD162" s="467"/>
      <c r="AE162" s="467"/>
      <c r="AF162" s="467"/>
      <c r="AG162" s="504"/>
      <c r="AI162" s="619"/>
    </row>
    <row r="163" spans="3:35" s="3" customFormat="1" x14ac:dyDescent="0.3">
      <c r="C163" s="504"/>
      <c r="D163" s="4"/>
      <c r="E163" s="467"/>
      <c r="F163" s="467"/>
      <c r="G163" s="527"/>
      <c r="H163" s="527"/>
      <c r="I163" s="467"/>
      <c r="K163" s="633"/>
      <c r="L163" s="4"/>
      <c r="M163" s="467"/>
      <c r="N163" s="467"/>
      <c r="O163" s="467"/>
      <c r="P163" s="467"/>
      <c r="Q163" s="467"/>
      <c r="R163" s="4"/>
      <c r="S163" s="618"/>
      <c r="T163" s="4"/>
      <c r="U163" s="467"/>
      <c r="V163" s="467"/>
      <c r="W163" s="467"/>
      <c r="X163" s="467"/>
      <c r="Y163" s="504"/>
      <c r="AA163" s="619"/>
      <c r="AC163" s="467"/>
      <c r="AD163" s="467"/>
      <c r="AE163" s="467"/>
      <c r="AF163" s="467"/>
      <c r="AG163" s="504"/>
      <c r="AI163" s="619"/>
    </row>
    <row r="164" spans="3:35" s="3" customFormat="1" x14ac:dyDescent="0.3">
      <c r="C164" s="504"/>
      <c r="D164" s="4"/>
      <c r="E164" s="467"/>
      <c r="F164" s="467"/>
      <c r="G164" s="527"/>
      <c r="H164" s="527"/>
      <c r="I164" s="467"/>
      <c r="K164" s="633"/>
      <c r="L164" s="4"/>
      <c r="M164" s="467"/>
      <c r="N164" s="467"/>
      <c r="O164" s="467"/>
      <c r="P164" s="467"/>
      <c r="Q164" s="467"/>
      <c r="R164" s="4"/>
      <c r="S164" s="618"/>
      <c r="T164" s="4"/>
      <c r="U164" s="467"/>
      <c r="V164" s="467"/>
      <c r="W164" s="467"/>
      <c r="X164" s="467"/>
      <c r="Y164" s="504"/>
      <c r="AA164" s="619"/>
      <c r="AC164" s="467"/>
      <c r="AD164" s="467"/>
      <c r="AE164" s="467"/>
      <c r="AF164" s="467"/>
      <c r="AG164" s="504"/>
      <c r="AI164" s="619"/>
    </row>
    <row r="165" spans="3:35" s="3" customFormat="1" x14ac:dyDescent="0.3">
      <c r="C165" s="504"/>
      <c r="D165" s="4"/>
      <c r="E165" s="467"/>
      <c r="F165" s="467"/>
      <c r="G165" s="527"/>
      <c r="H165" s="527"/>
      <c r="I165" s="467"/>
      <c r="K165" s="633"/>
      <c r="L165" s="4"/>
      <c r="M165" s="467"/>
      <c r="N165" s="467"/>
      <c r="O165" s="467"/>
      <c r="P165" s="467"/>
      <c r="Q165" s="467"/>
      <c r="R165" s="4"/>
      <c r="S165" s="618"/>
      <c r="T165" s="4"/>
      <c r="U165" s="467"/>
      <c r="V165" s="467"/>
      <c r="W165" s="467"/>
      <c r="X165" s="467"/>
      <c r="Y165" s="504"/>
      <c r="AA165" s="619"/>
      <c r="AC165" s="467"/>
      <c r="AD165" s="467"/>
      <c r="AE165" s="467"/>
      <c r="AF165" s="467"/>
      <c r="AG165" s="504"/>
      <c r="AI165" s="619"/>
    </row>
    <row r="166" spans="3:35" s="3" customFormat="1" x14ac:dyDescent="0.3">
      <c r="C166" s="504"/>
      <c r="D166" s="4"/>
      <c r="E166" s="467"/>
      <c r="F166" s="467"/>
      <c r="G166" s="527"/>
      <c r="H166" s="527"/>
      <c r="I166" s="467"/>
      <c r="K166" s="633"/>
      <c r="L166" s="4"/>
      <c r="M166" s="467"/>
      <c r="N166" s="467"/>
      <c r="O166" s="467"/>
      <c r="P166" s="467"/>
      <c r="Q166" s="467"/>
      <c r="R166" s="4"/>
      <c r="S166" s="618"/>
      <c r="T166" s="4"/>
      <c r="U166" s="467"/>
      <c r="V166" s="467"/>
      <c r="W166" s="467"/>
      <c r="X166" s="467"/>
      <c r="Y166" s="504"/>
      <c r="AA166" s="619"/>
      <c r="AC166" s="467"/>
      <c r="AD166" s="467"/>
      <c r="AE166" s="467"/>
      <c r="AF166" s="467"/>
      <c r="AG166" s="504"/>
      <c r="AI166" s="619"/>
    </row>
    <row r="167" spans="3:35" s="3" customFormat="1" x14ac:dyDescent="0.3">
      <c r="C167" s="504"/>
      <c r="D167" s="4"/>
      <c r="E167" s="467"/>
      <c r="F167" s="467"/>
      <c r="G167" s="527"/>
      <c r="H167" s="527"/>
      <c r="I167" s="467"/>
      <c r="K167" s="633"/>
      <c r="L167" s="4"/>
      <c r="M167" s="467"/>
      <c r="N167" s="467"/>
      <c r="O167" s="467"/>
      <c r="P167" s="467"/>
      <c r="Q167" s="467"/>
      <c r="R167" s="4"/>
      <c r="S167" s="618"/>
      <c r="T167" s="4"/>
      <c r="U167" s="467"/>
      <c r="V167" s="467"/>
      <c r="W167" s="467"/>
      <c r="X167" s="467"/>
      <c r="Y167" s="504"/>
      <c r="AA167" s="619"/>
      <c r="AC167" s="467"/>
      <c r="AD167" s="467"/>
      <c r="AE167" s="467"/>
      <c r="AF167" s="467"/>
      <c r="AG167" s="504"/>
      <c r="AI167" s="619"/>
    </row>
    <row r="168" spans="3:35" s="3" customFormat="1" x14ac:dyDescent="0.3">
      <c r="C168" s="504"/>
      <c r="D168" s="4"/>
      <c r="E168" s="467"/>
      <c r="F168" s="467"/>
      <c r="G168" s="527"/>
      <c r="H168" s="527"/>
      <c r="I168" s="467"/>
      <c r="K168" s="633"/>
      <c r="L168" s="4"/>
      <c r="M168" s="467"/>
      <c r="N168" s="467"/>
      <c r="O168" s="467"/>
      <c r="P168" s="467"/>
      <c r="Q168" s="467"/>
      <c r="R168" s="4"/>
      <c r="S168" s="618"/>
      <c r="T168" s="4"/>
      <c r="U168" s="467"/>
      <c r="V168" s="467"/>
      <c r="W168" s="467"/>
      <c r="X168" s="467"/>
      <c r="Y168" s="504"/>
      <c r="AA168" s="619"/>
      <c r="AC168" s="467"/>
      <c r="AD168" s="467"/>
      <c r="AE168" s="467"/>
      <c r="AF168" s="467"/>
      <c r="AG168" s="504"/>
      <c r="AI168" s="619"/>
    </row>
    <row r="169" spans="3:35" s="3" customFormat="1" x14ac:dyDescent="0.3">
      <c r="C169" s="504"/>
      <c r="D169" s="4"/>
      <c r="E169" s="467"/>
      <c r="F169" s="467"/>
      <c r="G169" s="527"/>
      <c r="H169" s="527"/>
      <c r="I169" s="467"/>
      <c r="K169" s="633"/>
      <c r="L169" s="4"/>
      <c r="M169" s="467"/>
      <c r="N169" s="467"/>
      <c r="O169" s="467"/>
      <c r="P169" s="467"/>
      <c r="Q169" s="467"/>
      <c r="R169" s="4"/>
      <c r="S169" s="618"/>
      <c r="T169" s="4"/>
      <c r="U169" s="467"/>
      <c r="V169" s="467"/>
      <c r="W169" s="467"/>
      <c r="X169" s="467"/>
      <c r="Y169" s="504"/>
      <c r="AA169" s="619"/>
      <c r="AC169" s="467"/>
      <c r="AD169" s="467"/>
      <c r="AE169" s="467"/>
      <c r="AF169" s="467"/>
      <c r="AG169" s="504"/>
      <c r="AI169" s="619"/>
    </row>
    <row r="170" spans="3:35" s="3" customFormat="1" x14ac:dyDescent="0.3">
      <c r="C170" s="504"/>
      <c r="D170" s="4"/>
      <c r="E170" s="467"/>
      <c r="F170" s="467"/>
      <c r="G170" s="527"/>
      <c r="H170" s="527"/>
      <c r="I170" s="467"/>
      <c r="K170" s="633"/>
      <c r="L170" s="4"/>
      <c r="M170" s="467"/>
      <c r="N170" s="467"/>
      <c r="O170" s="467"/>
      <c r="P170" s="467"/>
      <c r="Q170" s="467"/>
      <c r="R170" s="4"/>
      <c r="S170" s="618"/>
      <c r="T170" s="4"/>
      <c r="U170" s="467"/>
      <c r="V170" s="467"/>
      <c r="W170" s="467"/>
      <c r="X170" s="467"/>
      <c r="Y170" s="504"/>
      <c r="AA170" s="619"/>
      <c r="AC170" s="467"/>
      <c r="AD170" s="467"/>
      <c r="AE170" s="467"/>
      <c r="AF170" s="467"/>
      <c r="AG170" s="504"/>
      <c r="AI170" s="619"/>
    </row>
    <row r="171" spans="3:35" s="3" customFormat="1" x14ac:dyDescent="0.3">
      <c r="C171" s="504"/>
      <c r="D171" s="4"/>
      <c r="E171" s="467"/>
      <c r="F171" s="467"/>
      <c r="G171" s="527"/>
      <c r="H171" s="527"/>
      <c r="I171" s="467"/>
      <c r="K171" s="633"/>
      <c r="L171" s="4"/>
      <c r="M171" s="467"/>
      <c r="N171" s="467"/>
      <c r="O171" s="467"/>
      <c r="P171" s="467"/>
      <c r="Q171" s="467"/>
      <c r="R171" s="4"/>
      <c r="S171" s="618"/>
      <c r="T171" s="4"/>
      <c r="U171" s="467"/>
      <c r="V171" s="467"/>
      <c r="W171" s="467"/>
      <c r="X171" s="467"/>
      <c r="Y171" s="504"/>
      <c r="AA171" s="619"/>
      <c r="AC171" s="467"/>
      <c r="AD171" s="467"/>
      <c r="AE171" s="467"/>
      <c r="AF171" s="467"/>
      <c r="AG171" s="504"/>
      <c r="AI171" s="619"/>
    </row>
    <row r="172" spans="3:35" s="3" customFormat="1" x14ac:dyDescent="0.3">
      <c r="C172" s="504"/>
      <c r="D172" s="4"/>
      <c r="E172" s="467"/>
      <c r="F172" s="467"/>
      <c r="G172" s="527"/>
      <c r="H172" s="527"/>
      <c r="I172" s="467"/>
      <c r="K172" s="633"/>
      <c r="L172" s="4"/>
      <c r="M172" s="467"/>
      <c r="N172" s="467"/>
      <c r="O172" s="467"/>
      <c r="P172" s="467"/>
      <c r="Q172" s="467"/>
      <c r="R172" s="4"/>
      <c r="S172" s="618"/>
      <c r="T172" s="4"/>
      <c r="U172" s="467"/>
      <c r="V172" s="467"/>
      <c r="W172" s="467"/>
      <c r="X172" s="467"/>
      <c r="Y172" s="504"/>
      <c r="AA172" s="619"/>
      <c r="AC172" s="467"/>
      <c r="AD172" s="467"/>
      <c r="AE172" s="467"/>
      <c r="AF172" s="467"/>
      <c r="AG172" s="504"/>
      <c r="AI172" s="619"/>
    </row>
    <row r="173" spans="3:35" s="3" customFormat="1" x14ac:dyDescent="0.3">
      <c r="C173" s="504"/>
      <c r="D173" s="4"/>
      <c r="E173" s="467"/>
      <c r="F173" s="467"/>
      <c r="G173" s="527"/>
      <c r="H173" s="527"/>
      <c r="I173" s="467"/>
      <c r="K173" s="633"/>
      <c r="L173" s="4"/>
      <c r="M173" s="467"/>
      <c r="N173" s="467"/>
      <c r="O173" s="467"/>
      <c r="P173" s="467"/>
      <c r="Q173" s="467"/>
      <c r="R173" s="4"/>
      <c r="S173" s="618"/>
      <c r="T173" s="4"/>
      <c r="U173" s="467"/>
      <c r="V173" s="467"/>
      <c r="W173" s="467"/>
      <c r="X173" s="467"/>
      <c r="Y173" s="504"/>
      <c r="AA173" s="619"/>
      <c r="AC173" s="467"/>
      <c r="AD173" s="467"/>
      <c r="AE173" s="467"/>
      <c r="AF173" s="467"/>
      <c r="AG173" s="504"/>
      <c r="AI173" s="619"/>
    </row>
    <row r="174" spans="3:35" s="3" customFormat="1" x14ac:dyDescent="0.3">
      <c r="C174" s="504"/>
      <c r="D174" s="4"/>
      <c r="E174" s="467"/>
      <c r="F174" s="467"/>
      <c r="G174" s="527"/>
      <c r="H174" s="527"/>
      <c r="I174" s="467"/>
      <c r="K174" s="633"/>
      <c r="L174" s="4"/>
      <c r="M174" s="467"/>
      <c r="N174" s="467"/>
      <c r="O174" s="467"/>
      <c r="P174" s="467"/>
      <c r="Q174" s="467"/>
      <c r="R174" s="4"/>
      <c r="S174" s="618"/>
      <c r="T174" s="4"/>
      <c r="U174" s="467"/>
      <c r="V174" s="467"/>
      <c r="W174" s="467"/>
      <c r="X174" s="467"/>
      <c r="Y174" s="504"/>
      <c r="AA174" s="619"/>
      <c r="AC174" s="467"/>
      <c r="AD174" s="467"/>
      <c r="AE174" s="467"/>
      <c r="AF174" s="467"/>
      <c r="AG174" s="504"/>
      <c r="AI174" s="619"/>
    </row>
    <row r="175" spans="3:35" s="3" customFormat="1" x14ac:dyDescent="0.3">
      <c r="C175" s="504"/>
      <c r="D175" s="4"/>
      <c r="E175" s="467"/>
      <c r="F175" s="467"/>
      <c r="G175" s="527"/>
      <c r="H175" s="527"/>
      <c r="I175" s="467"/>
      <c r="K175" s="633"/>
      <c r="L175" s="4"/>
      <c r="M175" s="467"/>
      <c r="N175" s="467"/>
      <c r="O175" s="467"/>
      <c r="P175" s="467"/>
      <c r="Q175" s="467"/>
      <c r="R175" s="4"/>
      <c r="S175" s="618"/>
      <c r="T175" s="4"/>
      <c r="U175" s="467"/>
      <c r="V175" s="467"/>
      <c r="W175" s="467"/>
      <c r="X175" s="467"/>
      <c r="Y175" s="504"/>
      <c r="AA175" s="619"/>
      <c r="AC175" s="467"/>
      <c r="AD175" s="467"/>
      <c r="AE175" s="467"/>
      <c r="AF175" s="467"/>
      <c r="AG175" s="504"/>
      <c r="AI175" s="619"/>
    </row>
    <row r="176" spans="3:35" s="3" customFormat="1" x14ac:dyDescent="0.3">
      <c r="C176" s="504"/>
      <c r="D176" s="4"/>
      <c r="E176" s="467"/>
      <c r="F176" s="467"/>
      <c r="G176" s="527"/>
      <c r="H176" s="527"/>
      <c r="I176" s="467"/>
      <c r="K176" s="633"/>
      <c r="L176" s="4"/>
      <c r="M176" s="467"/>
      <c r="N176" s="467"/>
      <c r="O176" s="467"/>
      <c r="P176" s="467"/>
      <c r="Q176" s="467"/>
      <c r="R176" s="4"/>
      <c r="S176" s="618"/>
      <c r="T176" s="4"/>
      <c r="U176" s="467"/>
      <c r="V176" s="467"/>
      <c r="W176" s="467"/>
      <c r="X176" s="467"/>
      <c r="Y176" s="504"/>
      <c r="AA176" s="619"/>
      <c r="AC176" s="467"/>
      <c r="AD176" s="467"/>
      <c r="AE176" s="467"/>
      <c r="AF176" s="467"/>
      <c r="AG176" s="504"/>
      <c r="AI176" s="619"/>
    </row>
    <row r="177" spans="3:35" s="3" customFormat="1" x14ac:dyDescent="0.3">
      <c r="C177" s="504"/>
      <c r="D177" s="4"/>
      <c r="E177" s="467"/>
      <c r="F177" s="467"/>
      <c r="G177" s="527"/>
      <c r="H177" s="527"/>
      <c r="I177" s="467"/>
      <c r="K177" s="633"/>
      <c r="L177" s="4"/>
      <c r="M177" s="467"/>
      <c r="N177" s="467"/>
      <c r="O177" s="467"/>
      <c r="P177" s="467"/>
      <c r="Q177" s="467"/>
      <c r="R177" s="4"/>
      <c r="S177" s="618"/>
      <c r="T177" s="4"/>
      <c r="U177" s="467"/>
      <c r="V177" s="467"/>
      <c r="W177" s="467"/>
      <c r="X177" s="467"/>
      <c r="Y177" s="504"/>
      <c r="AA177" s="619"/>
      <c r="AC177" s="467"/>
      <c r="AD177" s="467"/>
      <c r="AE177" s="467"/>
      <c r="AF177" s="467"/>
      <c r="AG177" s="504"/>
      <c r="AI177" s="619"/>
    </row>
    <row r="178" spans="3:35" s="3" customFormat="1" x14ac:dyDescent="0.3">
      <c r="C178" s="504"/>
      <c r="D178" s="4"/>
      <c r="E178" s="467"/>
      <c r="F178" s="467"/>
      <c r="G178" s="527"/>
      <c r="H178" s="527"/>
      <c r="I178" s="467"/>
      <c r="K178" s="633"/>
      <c r="L178" s="4"/>
      <c r="M178" s="467"/>
      <c r="N178" s="467"/>
      <c r="O178" s="467"/>
      <c r="P178" s="467"/>
      <c r="Q178" s="467"/>
      <c r="R178" s="4"/>
      <c r="S178" s="618"/>
      <c r="T178" s="4"/>
      <c r="U178" s="467"/>
      <c r="V178" s="467"/>
      <c r="W178" s="467"/>
      <c r="X178" s="467"/>
      <c r="Y178" s="504"/>
      <c r="AA178" s="619"/>
      <c r="AC178" s="467"/>
      <c r="AD178" s="467"/>
      <c r="AE178" s="467"/>
      <c r="AF178" s="467"/>
      <c r="AG178" s="504"/>
      <c r="AI178" s="619"/>
    </row>
    <row r="179" spans="3:35" s="3" customFormat="1" x14ac:dyDescent="0.3">
      <c r="C179" s="504"/>
      <c r="D179" s="4"/>
      <c r="E179" s="467"/>
      <c r="F179" s="467"/>
      <c r="G179" s="527"/>
      <c r="H179" s="527"/>
      <c r="I179" s="467"/>
      <c r="K179" s="633"/>
      <c r="L179" s="4"/>
      <c r="M179" s="467"/>
      <c r="N179" s="467"/>
      <c r="O179" s="467"/>
      <c r="P179" s="467"/>
      <c r="Q179" s="467"/>
      <c r="R179" s="4"/>
      <c r="S179" s="618"/>
      <c r="T179" s="4"/>
      <c r="U179" s="467"/>
      <c r="V179" s="467"/>
      <c r="W179" s="467"/>
      <c r="X179" s="467"/>
      <c r="Y179" s="504"/>
      <c r="AA179" s="619"/>
      <c r="AC179" s="467"/>
      <c r="AD179" s="467"/>
      <c r="AE179" s="467"/>
      <c r="AF179" s="467"/>
      <c r="AG179" s="504"/>
      <c r="AI179" s="619"/>
    </row>
    <row r="180" spans="3:35" s="3" customFormat="1" x14ac:dyDescent="0.3">
      <c r="C180" s="504"/>
      <c r="D180" s="4"/>
      <c r="E180" s="467"/>
      <c r="F180" s="467"/>
      <c r="G180" s="527"/>
      <c r="H180" s="527"/>
      <c r="I180" s="467"/>
      <c r="K180" s="633"/>
      <c r="L180" s="4"/>
      <c r="M180" s="467"/>
      <c r="N180" s="467"/>
      <c r="O180" s="467"/>
      <c r="P180" s="467"/>
      <c r="Q180" s="467"/>
      <c r="R180" s="4"/>
      <c r="S180" s="618"/>
      <c r="T180" s="4"/>
      <c r="U180" s="467"/>
      <c r="V180" s="467"/>
      <c r="W180" s="467"/>
      <c r="X180" s="467"/>
      <c r="Y180" s="504"/>
      <c r="AA180" s="619"/>
      <c r="AC180" s="467"/>
      <c r="AD180" s="467"/>
      <c r="AE180" s="467"/>
      <c r="AF180" s="467"/>
      <c r="AG180" s="504"/>
      <c r="AI180" s="619"/>
    </row>
    <row r="181" spans="3:35" s="3" customFormat="1" x14ac:dyDescent="0.3">
      <c r="C181" s="504"/>
      <c r="D181" s="4"/>
      <c r="E181" s="467"/>
      <c r="F181" s="467"/>
      <c r="G181" s="527"/>
      <c r="H181" s="527"/>
      <c r="I181" s="467"/>
      <c r="K181" s="633"/>
      <c r="L181" s="4"/>
      <c r="M181" s="467"/>
      <c r="N181" s="467"/>
      <c r="O181" s="467"/>
      <c r="P181" s="467"/>
      <c r="Q181" s="467"/>
      <c r="R181" s="4"/>
      <c r="S181" s="618"/>
      <c r="T181" s="4"/>
      <c r="U181" s="467"/>
      <c r="V181" s="467"/>
      <c r="W181" s="467"/>
      <c r="X181" s="467"/>
      <c r="Y181" s="504"/>
      <c r="AA181" s="619"/>
      <c r="AC181" s="467"/>
      <c r="AD181" s="467"/>
      <c r="AE181" s="467"/>
      <c r="AF181" s="467"/>
      <c r="AG181" s="504"/>
      <c r="AI181" s="619"/>
    </row>
    <row r="182" spans="3:35" s="3" customFormat="1" x14ac:dyDescent="0.3">
      <c r="C182" s="504"/>
      <c r="D182" s="4"/>
      <c r="E182" s="467"/>
      <c r="F182" s="467"/>
      <c r="G182" s="527"/>
      <c r="H182" s="527"/>
      <c r="I182" s="467"/>
      <c r="K182" s="633"/>
      <c r="L182" s="4"/>
      <c r="M182" s="467"/>
      <c r="N182" s="467"/>
      <c r="O182" s="467"/>
      <c r="P182" s="467"/>
      <c r="Q182" s="467"/>
      <c r="R182" s="4"/>
      <c r="S182" s="618"/>
      <c r="T182" s="4"/>
      <c r="U182" s="467"/>
      <c r="V182" s="467"/>
      <c r="W182" s="467"/>
      <c r="X182" s="467"/>
      <c r="Y182" s="504"/>
      <c r="AA182" s="619"/>
      <c r="AC182" s="467"/>
      <c r="AD182" s="467"/>
      <c r="AE182" s="467"/>
      <c r="AF182" s="467"/>
      <c r="AG182" s="504"/>
      <c r="AI182" s="619"/>
    </row>
    <row r="183" spans="3:35" s="3" customFormat="1" x14ac:dyDescent="0.3">
      <c r="C183" s="504"/>
      <c r="D183" s="4"/>
      <c r="E183" s="467"/>
      <c r="F183" s="467"/>
      <c r="G183" s="527"/>
      <c r="H183" s="527"/>
      <c r="I183" s="467"/>
      <c r="K183" s="633"/>
      <c r="L183" s="4"/>
      <c r="M183" s="467"/>
      <c r="N183" s="467"/>
      <c r="O183" s="467"/>
      <c r="P183" s="467"/>
      <c r="Q183" s="467"/>
      <c r="R183" s="4"/>
      <c r="S183" s="618"/>
      <c r="T183" s="4"/>
      <c r="U183" s="467"/>
      <c r="V183" s="467"/>
      <c r="W183" s="467"/>
      <c r="X183" s="467"/>
      <c r="Y183" s="504"/>
      <c r="AA183" s="619"/>
      <c r="AC183" s="467"/>
      <c r="AD183" s="467"/>
      <c r="AE183" s="467"/>
      <c r="AF183" s="467"/>
      <c r="AG183" s="504"/>
      <c r="AI183" s="619"/>
    </row>
    <row r="184" spans="3:35" s="3" customFormat="1" x14ac:dyDescent="0.3">
      <c r="C184" s="504"/>
      <c r="D184" s="4"/>
      <c r="E184" s="467"/>
      <c r="F184" s="467"/>
      <c r="G184" s="527"/>
      <c r="H184" s="527"/>
      <c r="I184" s="467"/>
      <c r="K184" s="633"/>
      <c r="L184" s="4"/>
      <c r="M184" s="467"/>
      <c r="N184" s="467"/>
      <c r="O184" s="467"/>
      <c r="P184" s="467"/>
      <c r="Q184" s="467"/>
      <c r="R184" s="4"/>
      <c r="S184" s="618"/>
      <c r="T184" s="4"/>
      <c r="U184" s="467"/>
      <c r="V184" s="467"/>
      <c r="W184" s="467"/>
      <c r="X184" s="467"/>
      <c r="Y184" s="504"/>
      <c r="AA184" s="619"/>
      <c r="AC184" s="467"/>
      <c r="AD184" s="467"/>
      <c r="AE184" s="467"/>
      <c r="AF184" s="467"/>
      <c r="AG184" s="504"/>
      <c r="AI184" s="619"/>
    </row>
    <row r="185" spans="3:35" s="3" customFormat="1" x14ac:dyDescent="0.3">
      <c r="C185" s="504"/>
      <c r="D185" s="4"/>
      <c r="E185" s="467"/>
      <c r="F185" s="467"/>
      <c r="G185" s="527"/>
      <c r="H185" s="527"/>
      <c r="I185" s="467"/>
      <c r="K185" s="633"/>
      <c r="L185" s="4"/>
      <c r="M185" s="467"/>
      <c r="N185" s="467"/>
      <c r="O185" s="467"/>
      <c r="P185" s="467"/>
      <c r="Q185" s="467"/>
      <c r="R185" s="4"/>
      <c r="S185" s="618"/>
      <c r="T185" s="4"/>
      <c r="U185" s="467"/>
      <c r="V185" s="467"/>
      <c r="W185" s="467"/>
      <c r="X185" s="467"/>
      <c r="Y185" s="504"/>
      <c r="AA185" s="619"/>
      <c r="AC185" s="467"/>
      <c r="AD185" s="467"/>
      <c r="AE185" s="467"/>
      <c r="AF185" s="467"/>
      <c r="AG185" s="504"/>
      <c r="AI185" s="619"/>
    </row>
    <row r="186" spans="3:35" s="3" customFormat="1" x14ac:dyDescent="0.3">
      <c r="C186" s="504"/>
      <c r="D186" s="4"/>
      <c r="E186" s="467"/>
      <c r="F186" s="467"/>
      <c r="G186" s="527"/>
      <c r="H186" s="527"/>
      <c r="I186" s="467"/>
      <c r="K186" s="633"/>
      <c r="L186" s="4"/>
      <c r="M186" s="467"/>
      <c r="N186" s="467"/>
      <c r="O186" s="467"/>
      <c r="P186" s="467"/>
      <c r="Q186" s="467"/>
      <c r="R186" s="4"/>
      <c r="S186" s="618"/>
      <c r="T186" s="4"/>
      <c r="U186" s="467"/>
      <c r="V186" s="467"/>
      <c r="W186" s="467"/>
      <c r="X186" s="467"/>
      <c r="Y186" s="504"/>
      <c r="AA186" s="619"/>
      <c r="AC186" s="467"/>
      <c r="AD186" s="467"/>
      <c r="AE186" s="467"/>
      <c r="AF186" s="467"/>
      <c r="AG186" s="504"/>
      <c r="AI186" s="619"/>
    </row>
    <row r="187" spans="3:35" s="3" customFormat="1" x14ac:dyDescent="0.3">
      <c r="C187" s="504"/>
      <c r="D187" s="4"/>
      <c r="E187" s="467"/>
      <c r="F187" s="467"/>
      <c r="G187" s="527"/>
      <c r="H187" s="527"/>
      <c r="I187" s="467"/>
      <c r="K187" s="633"/>
      <c r="L187" s="4"/>
      <c r="M187" s="467"/>
      <c r="N187" s="467"/>
      <c r="O187" s="467"/>
      <c r="P187" s="467"/>
      <c r="Q187" s="467"/>
      <c r="R187" s="4"/>
      <c r="S187" s="618"/>
      <c r="T187" s="4"/>
      <c r="U187" s="467"/>
      <c r="V187" s="467"/>
      <c r="W187" s="467"/>
      <c r="X187" s="467"/>
      <c r="Y187" s="504"/>
      <c r="AA187" s="619"/>
      <c r="AC187" s="467"/>
      <c r="AD187" s="467"/>
      <c r="AE187" s="467"/>
      <c r="AF187" s="467"/>
      <c r="AG187" s="504"/>
      <c r="AI187" s="619"/>
    </row>
    <row r="188" spans="3:35" s="3" customFormat="1" x14ac:dyDescent="0.3">
      <c r="C188" s="504"/>
      <c r="D188" s="4"/>
      <c r="E188" s="467"/>
      <c r="F188" s="467"/>
      <c r="G188" s="527"/>
      <c r="H188" s="527"/>
      <c r="I188" s="467"/>
      <c r="K188" s="633"/>
      <c r="L188" s="4"/>
      <c r="M188" s="467"/>
      <c r="N188" s="467"/>
      <c r="O188" s="467"/>
      <c r="P188" s="467"/>
      <c r="Q188" s="467"/>
      <c r="R188" s="4"/>
      <c r="S188" s="618"/>
      <c r="T188" s="4"/>
      <c r="U188" s="467"/>
      <c r="V188" s="467"/>
      <c r="W188" s="467"/>
      <c r="X188" s="467"/>
      <c r="Y188" s="504"/>
      <c r="AA188" s="619"/>
      <c r="AC188" s="467"/>
      <c r="AD188" s="467"/>
      <c r="AE188" s="467"/>
      <c r="AF188" s="467"/>
      <c r="AG188" s="504"/>
      <c r="AI188" s="619"/>
    </row>
    <row r="189" spans="3:35" s="3" customFormat="1" x14ac:dyDescent="0.3">
      <c r="C189" s="504"/>
      <c r="D189" s="4"/>
      <c r="E189" s="467"/>
      <c r="F189" s="467"/>
      <c r="G189" s="527"/>
      <c r="H189" s="527"/>
      <c r="I189" s="467"/>
      <c r="K189" s="633"/>
      <c r="L189" s="4"/>
      <c r="M189" s="467"/>
      <c r="N189" s="467"/>
      <c r="O189" s="467"/>
      <c r="P189" s="467"/>
      <c r="Q189" s="467"/>
      <c r="R189" s="4"/>
      <c r="S189" s="618"/>
      <c r="T189" s="4"/>
      <c r="U189" s="467"/>
      <c r="V189" s="467"/>
      <c r="W189" s="467"/>
      <c r="X189" s="467"/>
      <c r="Y189" s="504"/>
      <c r="AA189" s="619"/>
      <c r="AC189" s="467"/>
      <c r="AD189" s="467"/>
      <c r="AE189" s="467"/>
      <c r="AF189" s="467"/>
      <c r="AG189" s="504"/>
      <c r="AI189" s="619"/>
    </row>
    <row r="190" spans="3:35" s="3" customFormat="1" x14ac:dyDescent="0.3">
      <c r="C190" s="504"/>
      <c r="D190" s="4"/>
      <c r="E190" s="467"/>
      <c r="F190" s="467"/>
      <c r="G190" s="527"/>
      <c r="H190" s="527"/>
      <c r="I190" s="467"/>
      <c r="K190" s="633"/>
      <c r="L190" s="4"/>
      <c r="M190" s="467"/>
      <c r="N190" s="467"/>
      <c r="O190" s="467"/>
      <c r="P190" s="467"/>
      <c r="Q190" s="467"/>
      <c r="R190" s="4"/>
      <c r="S190" s="618"/>
      <c r="T190" s="4"/>
      <c r="U190" s="467"/>
      <c r="V190" s="467"/>
      <c r="W190" s="467"/>
      <c r="X190" s="467"/>
      <c r="Y190" s="504"/>
      <c r="AA190" s="619"/>
      <c r="AC190" s="467"/>
      <c r="AD190" s="467"/>
      <c r="AE190" s="467"/>
      <c r="AF190" s="467"/>
      <c r="AG190" s="504"/>
      <c r="AI190" s="619"/>
    </row>
    <row r="191" spans="3:35" s="3" customFormat="1" x14ac:dyDescent="0.3">
      <c r="C191" s="504"/>
      <c r="D191" s="4"/>
      <c r="E191" s="467"/>
      <c r="F191" s="467"/>
      <c r="G191" s="527"/>
      <c r="H191" s="527"/>
      <c r="I191" s="467"/>
      <c r="K191" s="633"/>
      <c r="L191" s="4"/>
      <c r="M191" s="467"/>
      <c r="N191" s="467"/>
      <c r="O191" s="467"/>
      <c r="P191" s="467"/>
      <c r="Q191" s="467"/>
      <c r="R191" s="4"/>
      <c r="S191" s="618"/>
      <c r="T191" s="4"/>
      <c r="U191" s="467"/>
      <c r="V191" s="467"/>
      <c r="W191" s="467"/>
      <c r="X191" s="467"/>
      <c r="Y191" s="504"/>
      <c r="AA191" s="619"/>
      <c r="AC191" s="467"/>
      <c r="AD191" s="467"/>
      <c r="AE191" s="467"/>
      <c r="AF191" s="467"/>
      <c r="AG191" s="504"/>
      <c r="AI191" s="619"/>
    </row>
    <row r="192" spans="3:35" s="3" customFormat="1" x14ac:dyDescent="0.3">
      <c r="C192" s="504"/>
      <c r="D192" s="4"/>
      <c r="E192" s="467"/>
      <c r="F192" s="467"/>
      <c r="G192" s="527"/>
      <c r="H192" s="527"/>
      <c r="I192" s="467"/>
      <c r="K192" s="633"/>
      <c r="L192" s="4"/>
      <c r="M192" s="467"/>
      <c r="N192" s="467"/>
      <c r="O192" s="467"/>
      <c r="P192" s="467"/>
      <c r="Q192" s="467"/>
      <c r="R192" s="4"/>
      <c r="S192" s="618"/>
      <c r="T192" s="4"/>
      <c r="U192" s="467"/>
      <c r="V192" s="467"/>
      <c r="W192" s="467"/>
      <c r="X192" s="467"/>
      <c r="Y192" s="504"/>
      <c r="AA192" s="619"/>
      <c r="AC192" s="467"/>
      <c r="AD192" s="467"/>
      <c r="AE192" s="467"/>
      <c r="AF192" s="467"/>
      <c r="AG192" s="504"/>
      <c r="AI192" s="619"/>
    </row>
    <row r="193" spans="3:35" s="3" customFormat="1" x14ac:dyDescent="0.3">
      <c r="C193" s="504"/>
      <c r="D193" s="4"/>
      <c r="E193" s="467"/>
      <c r="F193" s="467"/>
      <c r="G193" s="527"/>
      <c r="H193" s="527"/>
      <c r="I193" s="467"/>
      <c r="K193" s="633"/>
      <c r="L193" s="4"/>
      <c r="M193" s="467"/>
      <c r="N193" s="467"/>
      <c r="O193" s="467"/>
      <c r="P193" s="467"/>
      <c r="Q193" s="467"/>
      <c r="R193" s="4"/>
      <c r="S193" s="618"/>
      <c r="T193" s="4"/>
      <c r="U193" s="467"/>
      <c r="V193" s="467"/>
      <c r="W193" s="467"/>
      <c r="X193" s="467"/>
      <c r="Y193" s="504"/>
      <c r="AA193" s="619"/>
      <c r="AC193" s="467"/>
      <c r="AD193" s="467"/>
      <c r="AE193" s="467"/>
      <c r="AF193" s="467"/>
      <c r="AG193" s="504"/>
      <c r="AI193" s="619"/>
    </row>
    <row r="194" spans="3:35" s="3" customFormat="1" x14ac:dyDescent="0.3">
      <c r="C194" s="504"/>
      <c r="D194" s="4"/>
      <c r="E194" s="467"/>
      <c r="F194" s="467"/>
      <c r="G194" s="527"/>
      <c r="H194" s="527"/>
      <c r="I194" s="467"/>
      <c r="K194" s="633"/>
      <c r="L194" s="4"/>
      <c r="M194" s="467"/>
      <c r="N194" s="467"/>
      <c r="O194" s="467"/>
      <c r="P194" s="467"/>
      <c r="Q194" s="467"/>
      <c r="R194" s="4"/>
      <c r="S194" s="618"/>
      <c r="T194" s="4"/>
      <c r="U194" s="467"/>
      <c r="V194" s="467"/>
      <c r="W194" s="467"/>
      <c r="X194" s="467"/>
      <c r="Y194" s="504"/>
      <c r="AA194" s="619"/>
      <c r="AC194" s="467"/>
      <c r="AD194" s="467"/>
      <c r="AE194" s="467"/>
      <c r="AF194" s="467"/>
      <c r="AG194" s="504"/>
      <c r="AI194" s="619"/>
    </row>
    <row r="195" spans="3:35" s="3" customFormat="1" x14ac:dyDescent="0.3">
      <c r="C195" s="504"/>
      <c r="D195" s="4"/>
      <c r="E195" s="467"/>
      <c r="F195" s="467"/>
      <c r="G195" s="527"/>
      <c r="H195" s="527"/>
      <c r="I195" s="467"/>
      <c r="K195" s="633"/>
      <c r="L195" s="4"/>
      <c r="M195" s="467"/>
      <c r="N195" s="467"/>
      <c r="O195" s="467"/>
      <c r="P195" s="467"/>
      <c r="Q195" s="467"/>
      <c r="R195" s="4"/>
      <c r="S195" s="618"/>
      <c r="T195" s="4"/>
      <c r="U195" s="467"/>
      <c r="V195" s="467"/>
      <c r="W195" s="467"/>
      <c r="X195" s="467"/>
      <c r="Y195" s="504"/>
      <c r="AA195" s="619"/>
      <c r="AC195" s="467"/>
      <c r="AD195" s="467"/>
      <c r="AE195" s="467"/>
      <c r="AF195" s="467"/>
      <c r="AG195" s="504"/>
      <c r="AI195" s="619"/>
    </row>
    <row r="196" spans="3:35" s="3" customFormat="1" x14ac:dyDescent="0.3">
      <c r="C196" s="504"/>
      <c r="D196" s="4"/>
      <c r="E196" s="467"/>
      <c r="F196" s="467"/>
      <c r="G196" s="527"/>
      <c r="H196" s="527"/>
      <c r="I196" s="467"/>
      <c r="K196" s="633"/>
      <c r="L196" s="4"/>
      <c r="M196" s="467"/>
      <c r="N196" s="467"/>
      <c r="O196" s="467"/>
      <c r="P196" s="467"/>
      <c r="Q196" s="467"/>
      <c r="R196" s="4"/>
      <c r="S196" s="618"/>
      <c r="T196" s="4"/>
      <c r="U196" s="467"/>
      <c r="V196" s="467"/>
      <c r="W196" s="467"/>
      <c r="X196" s="467"/>
      <c r="Y196" s="504"/>
      <c r="AA196" s="619"/>
      <c r="AC196" s="467"/>
      <c r="AD196" s="467"/>
      <c r="AE196" s="467"/>
      <c r="AF196" s="467"/>
      <c r="AG196" s="504"/>
      <c r="AI196" s="619"/>
    </row>
    <row r="197" spans="3:35" s="3" customFormat="1" x14ac:dyDescent="0.3">
      <c r="C197" s="504"/>
      <c r="D197" s="4"/>
      <c r="E197" s="467"/>
      <c r="F197" s="467"/>
      <c r="G197" s="527"/>
      <c r="H197" s="527"/>
      <c r="I197" s="467"/>
      <c r="K197" s="633"/>
      <c r="L197" s="4"/>
      <c r="M197" s="467"/>
      <c r="N197" s="467"/>
      <c r="O197" s="467"/>
      <c r="P197" s="467"/>
      <c r="Q197" s="467"/>
      <c r="R197" s="4"/>
      <c r="S197" s="618"/>
      <c r="T197" s="4"/>
      <c r="U197" s="467"/>
      <c r="V197" s="467"/>
      <c r="W197" s="467"/>
      <c r="X197" s="467"/>
      <c r="Y197" s="504"/>
      <c r="AA197" s="619"/>
      <c r="AC197" s="467"/>
      <c r="AD197" s="467"/>
      <c r="AE197" s="467"/>
      <c r="AF197" s="467"/>
      <c r="AG197" s="504"/>
      <c r="AI197" s="619"/>
    </row>
    <row r="198" spans="3:35" s="3" customFormat="1" x14ac:dyDescent="0.3">
      <c r="C198" s="504"/>
      <c r="D198" s="4"/>
      <c r="E198" s="467"/>
      <c r="F198" s="467"/>
      <c r="G198" s="527"/>
      <c r="H198" s="527"/>
      <c r="I198" s="467"/>
      <c r="K198" s="633"/>
      <c r="L198" s="4"/>
      <c r="M198" s="467"/>
      <c r="N198" s="467"/>
      <c r="O198" s="467"/>
      <c r="P198" s="467"/>
      <c r="Q198" s="467"/>
      <c r="R198" s="4"/>
      <c r="S198" s="618"/>
      <c r="T198" s="4"/>
      <c r="U198" s="467"/>
      <c r="V198" s="467"/>
      <c r="W198" s="467"/>
      <c r="X198" s="467"/>
      <c r="Y198" s="504"/>
      <c r="AA198" s="619"/>
      <c r="AC198" s="467"/>
      <c r="AD198" s="467"/>
      <c r="AE198" s="467"/>
      <c r="AF198" s="467"/>
      <c r="AG198" s="504"/>
      <c r="AI198" s="619"/>
    </row>
    <row r="199" spans="3:35" s="3" customFormat="1" x14ac:dyDescent="0.3">
      <c r="C199" s="504"/>
      <c r="D199" s="4"/>
      <c r="E199" s="467"/>
      <c r="F199" s="467"/>
      <c r="G199" s="527"/>
      <c r="H199" s="527"/>
      <c r="I199" s="467"/>
      <c r="K199" s="633"/>
      <c r="L199" s="4"/>
      <c r="M199" s="467"/>
      <c r="N199" s="467"/>
      <c r="O199" s="467"/>
      <c r="P199" s="467"/>
      <c r="Q199" s="467"/>
      <c r="R199" s="4"/>
      <c r="S199" s="618"/>
      <c r="T199" s="4"/>
      <c r="U199" s="467"/>
      <c r="V199" s="467"/>
      <c r="W199" s="467"/>
      <c r="X199" s="467"/>
      <c r="Y199" s="504"/>
      <c r="AA199" s="619"/>
      <c r="AC199" s="467"/>
      <c r="AD199" s="467"/>
      <c r="AE199" s="467"/>
      <c r="AF199" s="467"/>
      <c r="AG199" s="504"/>
      <c r="AI199" s="619"/>
    </row>
    <row r="200" spans="3:35" s="3" customFormat="1" x14ac:dyDescent="0.3">
      <c r="C200" s="504"/>
      <c r="D200" s="4"/>
      <c r="E200" s="467"/>
      <c r="F200" s="467"/>
      <c r="G200" s="527"/>
      <c r="H200" s="527"/>
      <c r="I200" s="467"/>
      <c r="K200" s="633"/>
      <c r="L200" s="4"/>
      <c r="M200" s="467"/>
      <c r="N200" s="467"/>
      <c r="O200" s="467"/>
      <c r="P200" s="467"/>
      <c r="Q200" s="467"/>
      <c r="R200" s="4"/>
      <c r="S200" s="618"/>
      <c r="T200" s="4"/>
      <c r="U200" s="467"/>
      <c r="V200" s="467"/>
      <c r="W200" s="467"/>
      <c r="X200" s="467"/>
      <c r="Y200" s="504"/>
      <c r="AA200" s="619"/>
      <c r="AC200" s="467"/>
      <c r="AD200" s="467"/>
      <c r="AE200" s="467"/>
      <c r="AF200" s="467"/>
      <c r="AG200" s="504"/>
      <c r="AI200" s="619"/>
    </row>
    <row r="201" spans="3:35" s="3" customFormat="1" x14ac:dyDescent="0.3">
      <c r="C201" s="504"/>
      <c r="D201" s="4"/>
      <c r="E201" s="467"/>
      <c r="F201" s="467"/>
      <c r="G201" s="527"/>
      <c r="H201" s="527"/>
      <c r="I201" s="467"/>
      <c r="K201" s="633"/>
      <c r="L201" s="4"/>
      <c r="M201" s="467"/>
      <c r="N201" s="467"/>
      <c r="O201" s="467"/>
      <c r="P201" s="467"/>
      <c r="Q201" s="467"/>
      <c r="R201" s="4"/>
      <c r="S201" s="618"/>
      <c r="T201" s="4"/>
      <c r="U201" s="467"/>
      <c r="V201" s="467"/>
      <c r="W201" s="467"/>
      <c r="X201" s="467"/>
      <c r="Y201" s="504"/>
      <c r="AA201" s="619"/>
      <c r="AC201" s="467"/>
      <c r="AD201" s="467"/>
      <c r="AE201" s="467"/>
      <c r="AF201" s="467"/>
      <c r="AG201" s="504"/>
      <c r="AI201" s="619"/>
    </row>
    <row r="202" spans="3:35" s="3" customFormat="1" x14ac:dyDescent="0.3">
      <c r="C202" s="504"/>
      <c r="D202" s="4"/>
      <c r="E202" s="467"/>
      <c r="F202" s="467"/>
      <c r="G202" s="527"/>
      <c r="H202" s="527"/>
      <c r="I202" s="467"/>
      <c r="K202" s="633"/>
      <c r="L202" s="4"/>
      <c r="M202" s="467"/>
      <c r="N202" s="467"/>
      <c r="O202" s="467"/>
      <c r="P202" s="467"/>
      <c r="Q202" s="467"/>
      <c r="R202" s="4"/>
      <c r="S202" s="618"/>
      <c r="T202" s="4"/>
      <c r="U202" s="467"/>
      <c r="V202" s="467"/>
      <c r="W202" s="467"/>
      <c r="X202" s="467"/>
      <c r="Y202" s="504"/>
      <c r="AA202" s="619"/>
      <c r="AC202" s="467"/>
      <c r="AD202" s="467"/>
      <c r="AE202" s="467"/>
      <c r="AF202" s="467"/>
      <c r="AG202" s="504"/>
      <c r="AI202" s="619"/>
    </row>
    <row r="203" spans="3:35" s="3" customFormat="1" x14ac:dyDescent="0.3">
      <c r="C203" s="504"/>
      <c r="D203" s="4"/>
      <c r="E203" s="467"/>
      <c r="F203" s="467"/>
      <c r="G203" s="527"/>
      <c r="H203" s="527"/>
      <c r="I203" s="467"/>
      <c r="K203" s="633"/>
      <c r="L203" s="4"/>
      <c r="M203" s="467"/>
      <c r="N203" s="467"/>
      <c r="O203" s="467"/>
      <c r="P203" s="467"/>
      <c r="Q203" s="467"/>
      <c r="R203" s="4"/>
      <c r="S203" s="618"/>
      <c r="T203" s="4"/>
      <c r="U203" s="467"/>
      <c r="V203" s="467"/>
      <c r="W203" s="467"/>
      <c r="X203" s="467"/>
      <c r="Y203" s="504"/>
      <c r="AA203" s="619"/>
      <c r="AC203" s="467"/>
      <c r="AD203" s="467"/>
      <c r="AE203" s="467"/>
      <c r="AF203" s="467"/>
      <c r="AG203" s="504"/>
      <c r="AI203" s="619"/>
    </row>
    <row r="204" spans="3:35" s="3" customFormat="1" x14ac:dyDescent="0.3">
      <c r="C204" s="504"/>
      <c r="D204" s="4"/>
      <c r="E204" s="467"/>
      <c r="F204" s="467"/>
      <c r="G204" s="527"/>
      <c r="H204" s="527"/>
      <c r="I204" s="467"/>
      <c r="K204" s="633"/>
      <c r="L204" s="4"/>
      <c r="M204" s="467"/>
      <c r="N204" s="467"/>
      <c r="O204" s="467"/>
      <c r="P204" s="467"/>
      <c r="Q204" s="467"/>
      <c r="R204" s="4"/>
      <c r="S204" s="618"/>
      <c r="T204" s="4"/>
      <c r="U204" s="467"/>
      <c r="V204" s="467"/>
      <c r="W204" s="467"/>
      <c r="X204" s="467"/>
      <c r="Y204" s="504"/>
      <c r="AA204" s="619"/>
      <c r="AC204" s="467"/>
      <c r="AD204" s="467"/>
      <c r="AE204" s="467"/>
      <c r="AF204" s="467"/>
      <c r="AG204" s="504"/>
      <c r="AI204" s="619"/>
    </row>
    <row r="205" spans="3:35" s="3" customFormat="1" x14ac:dyDescent="0.3">
      <c r="C205" s="504"/>
      <c r="D205" s="4"/>
      <c r="E205" s="467"/>
      <c r="F205" s="467"/>
      <c r="G205" s="527"/>
      <c r="H205" s="527"/>
      <c r="I205" s="467"/>
      <c r="K205" s="633"/>
      <c r="L205" s="4"/>
      <c r="M205" s="467"/>
      <c r="N205" s="467"/>
      <c r="O205" s="467"/>
      <c r="P205" s="467"/>
      <c r="Q205" s="467"/>
      <c r="R205" s="4"/>
      <c r="S205" s="618"/>
      <c r="T205" s="4"/>
      <c r="U205" s="467"/>
      <c r="V205" s="467"/>
      <c r="W205" s="467"/>
      <c r="X205" s="467"/>
      <c r="Y205" s="504"/>
      <c r="AA205" s="619"/>
      <c r="AC205" s="467"/>
      <c r="AD205" s="467"/>
      <c r="AE205" s="467"/>
      <c r="AF205" s="467"/>
      <c r="AG205" s="504"/>
      <c r="AI205" s="619"/>
    </row>
    <row r="206" spans="3:35" s="3" customFormat="1" x14ac:dyDescent="0.3">
      <c r="C206" s="504"/>
      <c r="D206" s="4"/>
      <c r="E206" s="467"/>
      <c r="F206" s="467"/>
      <c r="G206" s="527"/>
      <c r="H206" s="527"/>
      <c r="I206" s="467"/>
      <c r="K206" s="633"/>
      <c r="L206" s="4"/>
      <c r="M206" s="467"/>
      <c r="N206" s="467"/>
      <c r="O206" s="467"/>
      <c r="P206" s="467"/>
      <c r="Q206" s="467"/>
      <c r="R206" s="4"/>
      <c r="S206" s="618"/>
      <c r="T206" s="4"/>
      <c r="U206" s="467"/>
      <c r="V206" s="467"/>
      <c r="W206" s="467"/>
      <c r="X206" s="467"/>
      <c r="Y206" s="504"/>
      <c r="AA206" s="619"/>
      <c r="AC206" s="467"/>
      <c r="AD206" s="467"/>
      <c r="AE206" s="467"/>
      <c r="AF206" s="467"/>
      <c r="AG206" s="504"/>
      <c r="AI206" s="619"/>
    </row>
    <row r="207" spans="3:35" s="3" customFormat="1" x14ac:dyDescent="0.3">
      <c r="C207" s="504"/>
      <c r="D207" s="4"/>
      <c r="E207" s="467"/>
      <c r="F207" s="467"/>
      <c r="G207" s="527"/>
      <c r="H207" s="527"/>
      <c r="I207" s="467"/>
      <c r="K207" s="633"/>
      <c r="L207" s="4"/>
      <c r="M207" s="467"/>
      <c r="N207" s="467"/>
      <c r="O207" s="467"/>
      <c r="P207" s="467"/>
      <c r="Q207" s="467"/>
      <c r="R207" s="4"/>
      <c r="S207" s="618"/>
      <c r="T207" s="4"/>
      <c r="U207" s="467"/>
      <c r="V207" s="467"/>
      <c r="W207" s="467"/>
      <c r="X207" s="467"/>
      <c r="Y207" s="504"/>
      <c r="AA207" s="619"/>
      <c r="AC207" s="467"/>
      <c r="AD207" s="467"/>
      <c r="AE207" s="467"/>
      <c r="AF207" s="467"/>
      <c r="AG207" s="504"/>
      <c r="AI207" s="619"/>
    </row>
    <row r="208" spans="3:35" s="3" customFormat="1" x14ac:dyDescent="0.3">
      <c r="C208" s="504"/>
      <c r="D208" s="4"/>
      <c r="E208" s="467"/>
      <c r="F208" s="467"/>
      <c r="G208" s="527"/>
      <c r="H208" s="527"/>
      <c r="I208" s="467"/>
      <c r="K208" s="633"/>
      <c r="L208" s="4"/>
      <c r="M208" s="467"/>
      <c r="N208" s="467"/>
      <c r="O208" s="467"/>
      <c r="P208" s="467"/>
      <c r="Q208" s="467"/>
      <c r="R208" s="4"/>
      <c r="S208" s="618"/>
      <c r="T208" s="4"/>
      <c r="U208" s="467"/>
      <c r="V208" s="467"/>
      <c r="W208" s="467"/>
      <c r="X208" s="467"/>
      <c r="Y208" s="504"/>
      <c r="AA208" s="619"/>
      <c r="AC208" s="467"/>
      <c r="AD208" s="467"/>
      <c r="AE208" s="467"/>
      <c r="AF208" s="467"/>
      <c r="AG208" s="504"/>
      <c r="AI208" s="619"/>
    </row>
    <row r="209" spans="3:35" s="3" customFormat="1" x14ac:dyDescent="0.3">
      <c r="C209" s="504"/>
      <c r="D209" s="4"/>
      <c r="E209" s="467"/>
      <c r="F209" s="467"/>
      <c r="G209" s="527"/>
      <c r="H209" s="527"/>
      <c r="I209" s="467"/>
      <c r="K209" s="633"/>
      <c r="L209" s="4"/>
      <c r="M209" s="467"/>
      <c r="N209" s="467"/>
      <c r="O209" s="467"/>
      <c r="P209" s="467"/>
      <c r="Q209" s="467"/>
      <c r="R209" s="4"/>
      <c r="S209" s="618"/>
      <c r="T209" s="4"/>
      <c r="U209" s="467"/>
      <c r="V209" s="467"/>
      <c r="W209" s="467"/>
      <c r="X209" s="467"/>
      <c r="Y209" s="504"/>
      <c r="AA209" s="619"/>
      <c r="AC209" s="467"/>
      <c r="AD209" s="467"/>
      <c r="AE209" s="467"/>
      <c r="AF209" s="467"/>
      <c r="AG209" s="504"/>
      <c r="AI209" s="619"/>
    </row>
    <row r="210" spans="3:35" s="3" customFormat="1" x14ac:dyDescent="0.3">
      <c r="C210" s="504"/>
      <c r="D210" s="4"/>
      <c r="E210" s="467"/>
      <c r="F210" s="467"/>
      <c r="G210" s="527"/>
      <c r="H210" s="527"/>
      <c r="I210" s="467"/>
      <c r="K210" s="633"/>
      <c r="L210" s="4"/>
      <c r="M210" s="467"/>
      <c r="N210" s="467"/>
      <c r="O210" s="467"/>
      <c r="P210" s="467"/>
      <c r="Q210" s="467"/>
      <c r="R210" s="4"/>
      <c r="S210" s="618"/>
      <c r="T210" s="4"/>
      <c r="U210" s="467"/>
      <c r="V210" s="467"/>
      <c r="W210" s="467"/>
      <c r="X210" s="467"/>
      <c r="Y210" s="504"/>
      <c r="AA210" s="619"/>
      <c r="AC210" s="467"/>
      <c r="AD210" s="467"/>
      <c r="AE210" s="467"/>
      <c r="AF210" s="467"/>
      <c r="AG210" s="504"/>
      <c r="AI210" s="619"/>
    </row>
    <row r="211" spans="3:35" s="3" customFormat="1" x14ac:dyDescent="0.3">
      <c r="C211" s="504"/>
      <c r="D211" s="4"/>
      <c r="E211" s="467"/>
      <c r="F211" s="467"/>
      <c r="G211" s="527"/>
      <c r="H211" s="527"/>
      <c r="I211" s="467"/>
      <c r="K211" s="633"/>
      <c r="L211" s="4"/>
      <c r="M211" s="467"/>
      <c r="N211" s="467"/>
      <c r="O211" s="467"/>
      <c r="P211" s="467"/>
      <c r="Q211" s="467"/>
      <c r="R211" s="4"/>
      <c r="S211" s="618"/>
      <c r="T211" s="4"/>
      <c r="U211" s="467"/>
      <c r="V211" s="467"/>
      <c r="W211" s="467"/>
      <c r="X211" s="467"/>
      <c r="Y211" s="504"/>
      <c r="AA211" s="619"/>
      <c r="AC211" s="467"/>
      <c r="AD211" s="467"/>
      <c r="AE211" s="467"/>
      <c r="AF211" s="467"/>
      <c r="AG211" s="504"/>
      <c r="AI211" s="619"/>
    </row>
    <row r="212" spans="3:35" s="3" customFormat="1" x14ac:dyDescent="0.3">
      <c r="C212" s="504"/>
      <c r="D212" s="4"/>
      <c r="E212" s="467"/>
      <c r="F212" s="467"/>
      <c r="G212" s="527"/>
      <c r="H212" s="527"/>
      <c r="I212" s="467"/>
      <c r="K212" s="633"/>
      <c r="L212" s="4"/>
      <c r="M212" s="467"/>
      <c r="N212" s="467"/>
      <c r="O212" s="467"/>
      <c r="P212" s="467"/>
      <c r="Q212" s="467"/>
      <c r="R212" s="4"/>
      <c r="S212" s="618"/>
      <c r="T212" s="4"/>
      <c r="U212" s="467"/>
      <c r="V212" s="467"/>
      <c r="W212" s="467"/>
      <c r="X212" s="467"/>
      <c r="Y212" s="504"/>
      <c r="AA212" s="619"/>
      <c r="AC212" s="467"/>
      <c r="AD212" s="467"/>
      <c r="AE212" s="467"/>
      <c r="AF212" s="467"/>
      <c r="AG212" s="504"/>
      <c r="AI212" s="619"/>
    </row>
    <row r="213" spans="3:35" s="3" customFormat="1" x14ac:dyDescent="0.3">
      <c r="C213" s="504"/>
      <c r="D213" s="4"/>
      <c r="E213" s="467"/>
      <c r="F213" s="467"/>
      <c r="G213" s="527"/>
      <c r="H213" s="527"/>
      <c r="I213" s="467"/>
      <c r="K213" s="633"/>
      <c r="L213" s="4"/>
      <c r="M213" s="467"/>
      <c r="N213" s="467"/>
      <c r="O213" s="467"/>
      <c r="P213" s="467"/>
      <c r="Q213" s="467"/>
      <c r="R213" s="4"/>
      <c r="S213" s="618"/>
      <c r="T213" s="4"/>
      <c r="U213" s="467"/>
      <c r="V213" s="467"/>
      <c r="W213" s="467"/>
      <c r="X213" s="467"/>
      <c r="Y213" s="504"/>
      <c r="AA213" s="619"/>
      <c r="AC213" s="467"/>
      <c r="AD213" s="467"/>
      <c r="AE213" s="467"/>
      <c r="AF213" s="467"/>
      <c r="AG213" s="504"/>
      <c r="AI213" s="619"/>
    </row>
    <row r="214" spans="3:35" s="3" customFormat="1" x14ac:dyDescent="0.3">
      <c r="C214" s="504"/>
      <c r="D214" s="4"/>
      <c r="E214" s="467"/>
      <c r="F214" s="467"/>
      <c r="G214" s="527"/>
      <c r="H214" s="527"/>
      <c r="I214" s="467"/>
      <c r="K214" s="633"/>
      <c r="L214" s="4"/>
      <c r="M214" s="467"/>
      <c r="N214" s="467"/>
      <c r="O214" s="467"/>
      <c r="P214" s="467"/>
      <c r="Q214" s="467"/>
      <c r="R214" s="4"/>
      <c r="S214" s="618"/>
      <c r="T214" s="4"/>
      <c r="U214" s="467"/>
      <c r="V214" s="467"/>
      <c r="W214" s="467"/>
      <c r="X214" s="467"/>
      <c r="Y214" s="504"/>
      <c r="AA214" s="619"/>
      <c r="AC214" s="467"/>
      <c r="AD214" s="467"/>
      <c r="AE214" s="467"/>
      <c r="AF214" s="467"/>
      <c r="AG214" s="504"/>
      <c r="AI214" s="619"/>
    </row>
    <row r="215" spans="3:35" s="3" customFormat="1" x14ac:dyDescent="0.3">
      <c r="C215" s="504"/>
      <c r="D215" s="4"/>
      <c r="E215" s="467"/>
      <c r="F215" s="467"/>
      <c r="G215" s="527"/>
      <c r="H215" s="527"/>
      <c r="I215" s="467"/>
      <c r="K215" s="633"/>
      <c r="L215" s="4"/>
      <c r="M215" s="467"/>
      <c r="N215" s="467"/>
      <c r="O215" s="467"/>
      <c r="P215" s="467"/>
      <c r="Q215" s="467"/>
      <c r="R215" s="4"/>
      <c r="S215" s="618"/>
      <c r="T215" s="4"/>
      <c r="U215" s="467"/>
      <c r="V215" s="467"/>
      <c r="W215" s="467"/>
      <c r="X215" s="467"/>
      <c r="Y215" s="504"/>
      <c r="AA215" s="619"/>
      <c r="AC215" s="467"/>
      <c r="AD215" s="467"/>
      <c r="AE215" s="467"/>
      <c r="AF215" s="467"/>
      <c r="AG215" s="504"/>
      <c r="AI215" s="619"/>
    </row>
    <row r="216" spans="3:35" s="3" customFormat="1" x14ac:dyDescent="0.3">
      <c r="C216" s="504"/>
      <c r="D216" s="4"/>
      <c r="E216" s="467"/>
      <c r="F216" s="467"/>
      <c r="G216" s="527"/>
      <c r="H216" s="527"/>
      <c r="I216" s="467"/>
      <c r="K216" s="633"/>
      <c r="L216" s="4"/>
      <c r="M216" s="467"/>
      <c r="N216" s="467"/>
      <c r="O216" s="467"/>
      <c r="P216" s="467"/>
      <c r="Q216" s="467"/>
      <c r="R216" s="4"/>
      <c r="S216" s="618"/>
      <c r="T216" s="4"/>
      <c r="U216" s="467"/>
      <c r="V216" s="467"/>
      <c r="W216" s="467"/>
      <c r="X216" s="467"/>
      <c r="Y216" s="504"/>
      <c r="AA216" s="619"/>
      <c r="AC216" s="467"/>
      <c r="AD216" s="467"/>
      <c r="AE216" s="467"/>
      <c r="AF216" s="467"/>
      <c r="AG216" s="504"/>
      <c r="AI216" s="619"/>
    </row>
    <row r="217" spans="3:35" s="3" customFormat="1" x14ac:dyDescent="0.3">
      <c r="C217" s="504"/>
      <c r="D217" s="4"/>
      <c r="E217" s="467"/>
      <c r="F217" s="467"/>
      <c r="G217" s="527"/>
      <c r="H217" s="527"/>
      <c r="I217" s="467"/>
      <c r="K217" s="633"/>
      <c r="L217" s="4"/>
      <c r="M217" s="467"/>
      <c r="N217" s="467"/>
      <c r="O217" s="467"/>
      <c r="P217" s="467"/>
      <c r="Q217" s="467"/>
      <c r="R217" s="4"/>
      <c r="S217" s="618"/>
      <c r="T217" s="4"/>
      <c r="U217" s="467"/>
      <c r="V217" s="467"/>
      <c r="W217" s="467"/>
      <c r="X217" s="467"/>
      <c r="Y217" s="504"/>
      <c r="AA217" s="619"/>
      <c r="AC217" s="467"/>
      <c r="AD217" s="467"/>
      <c r="AE217" s="467"/>
      <c r="AF217" s="467"/>
      <c r="AG217" s="504"/>
      <c r="AI217" s="619"/>
    </row>
  </sheetData>
  <mergeCells count="9">
    <mergeCell ref="B1:C1"/>
    <mergeCell ref="E9:K9"/>
    <mergeCell ref="AC9:AI9"/>
    <mergeCell ref="U9:AA9"/>
    <mergeCell ref="M9:S9"/>
    <mergeCell ref="M8:S8"/>
    <mergeCell ref="U8:AA8"/>
    <mergeCell ref="AC8:AI8"/>
    <mergeCell ref="E8:K8"/>
  </mergeCells>
  <pageMargins left="0.7" right="0.7" top="0.75" bottom="0.75" header="0.3" footer="0.3"/>
  <pageSetup scale="38" fitToWidth="0" orientation="landscape" r:id="rId1"/>
  <headerFooter scaleWithDoc="0">
    <oddHeader>&amp;R&amp;G</oddHeader>
    <oddFooter>&amp;L&amp;G&amp;C&amp;9DRAFT &amp;P&amp;R&amp;9Page&amp;P</oddFooter>
  </headerFooter>
  <colBreaks count="1" manualBreakCount="1">
    <brk id="19" max="1048575" man="1"/>
  </colBreaks>
  <ignoredErrors>
    <ignoredError sqref="I42 Q42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CB8CB-E889-4876-B23F-48DB06AF939A}">
  <sheetPr>
    <tabColor theme="8" tint="0.39997558519241921"/>
  </sheetPr>
  <dimension ref="A1:AS972"/>
  <sheetViews>
    <sheetView tabSelected="1" topLeftCell="A36" zoomScale="70" zoomScaleNormal="70" workbookViewId="0">
      <selection activeCell="N26" sqref="N26"/>
    </sheetView>
  </sheetViews>
  <sheetFormatPr defaultColWidth="14.453125" defaultRowHeight="15" customHeight="1" outlineLevelCol="1" x14ac:dyDescent="0.3"/>
  <cols>
    <col min="1" max="1" width="4.54296875" style="13" customWidth="1"/>
    <col min="2" max="2" width="13.26953125" style="13" customWidth="1"/>
    <col min="3" max="3" width="32.7265625" style="13" customWidth="1"/>
    <col min="4" max="4" width="0.81640625" style="14" customWidth="1"/>
    <col min="5" max="5" width="14.81640625" style="13" customWidth="1"/>
    <col min="6" max="6" width="1" style="14" customWidth="1"/>
    <col min="7" max="7" width="21.90625" style="13" customWidth="1"/>
    <col min="8" max="8" width="1" style="14" customWidth="1"/>
    <col min="9" max="9" width="10.6328125" style="13" customWidth="1" outlineLevel="1"/>
    <col min="10" max="10" width="1" style="14" customWidth="1" outlineLevel="1"/>
    <col min="11" max="11" width="10.90625" style="13" customWidth="1" outlineLevel="1"/>
    <col min="12" max="12" width="1" style="14" customWidth="1" outlineLevel="1"/>
    <col min="13" max="13" width="10.1796875" style="13" customWidth="1" outlineLevel="1"/>
    <col min="14" max="14" width="1" style="14" customWidth="1" outlineLevel="1"/>
    <col min="15" max="15" width="10.1796875" style="13" customWidth="1" outlineLevel="1"/>
    <col min="16" max="16" width="1" style="14" customWidth="1" outlineLevel="1"/>
    <col min="17" max="17" width="10.1796875" style="13" customWidth="1" outlineLevel="1"/>
    <col min="18" max="18" width="1" style="14" customWidth="1" outlineLevel="1"/>
    <col min="19" max="19" width="10.1796875" style="13" customWidth="1" outlineLevel="1"/>
    <col min="20" max="20" width="1" style="14" customWidth="1" outlineLevel="1"/>
    <col min="21" max="21" width="10.36328125" style="13" customWidth="1" outlineLevel="1"/>
    <col min="22" max="22" width="1" style="14" customWidth="1" outlineLevel="1"/>
    <col min="23" max="23" width="10.7265625" style="13" customWidth="1" outlineLevel="1"/>
    <col min="24" max="24" width="1" style="14" customWidth="1"/>
    <col min="25" max="25" width="10.81640625" style="13" customWidth="1"/>
    <col min="26" max="26" width="1.6328125" style="14" customWidth="1"/>
    <col min="27" max="28" width="9.54296875" style="13" customWidth="1"/>
    <col min="29" max="29" width="14.26953125" style="13" customWidth="1"/>
    <col min="30" max="30" width="9.54296875" style="13" customWidth="1"/>
    <col min="31" max="37" width="8.81640625" style="13" customWidth="1"/>
    <col min="38" max="40" width="14.453125" style="13" customWidth="1"/>
    <col min="41" max="41" width="3.6328125" style="13" customWidth="1"/>
    <col min="42" max="42" width="22.81640625" style="13" customWidth="1"/>
    <col min="43" max="16384" width="14.453125" style="13"/>
  </cols>
  <sheetData>
    <row r="1" spans="1:45" ht="18" customHeight="1" thickBot="1" x14ac:dyDescent="0.45">
      <c r="A1" s="2"/>
      <c r="B1" s="569" t="s">
        <v>230</v>
      </c>
      <c r="C1" s="568"/>
      <c r="D1" s="568"/>
      <c r="E1" s="568"/>
      <c r="F1" s="568"/>
      <c r="G1" s="566"/>
      <c r="H1" s="566"/>
      <c r="I1" s="566"/>
      <c r="J1" s="567"/>
      <c r="K1" s="570"/>
      <c r="L1" s="570"/>
      <c r="M1" s="570"/>
      <c r="N1" s="570"/>
      <c r="O1" s="570"/>
      <c r="P1" s="570"/>
      <c r="Q1" s="571"/>
      <c r="W1" s="241" t="s">
        <v>170</v>
      </c>
      <c r="X1" s="242"/>
      <c r="Y1" s="240"/>
    </row>
    <row r="2" spans="1:45" ht="18" customHeight="1" x14ac:dyDescent="0.3">
      <c r="C2" s="1"/>
      <c r="D2" s="1"/>
      <c r="E2" s="1"/>
      <c r="F2" s="2"/>
      <c r="G2" s="658"/>
      <c r="H2" s="658"/>
      <c r="I2" s="658"/>
      <c r="K2" s="14"/>
      <c r="M2" s="14"/>
      <c r="O2" s="14"/>
      <c r="Q2" s="575"/>
      <c r="W2" s="224"/>
      <c r="X2" s="190"/>
      <c r="Y2" s="1" t="s">
        <v>168</v>
      </c>
    </row>
    <row r="3" spans="1:45" ht="18" customHeight="1" x14ac:dyDescent="0.45">
      <c r="B3" s="219" t="s">
        <v>83</v>
      </c>
      <c r="C3" s="220"/>
      <c r="D3" s="209"/>
      <c r="E3" s="210"/>
      <c r="F3" s="211"/>
      <c r="G3" s="4"/>
      <c r="H3" s="190"/>
      <c r="I3" s="4"/>
      <c r="K3" s="14"/>
      <c r="M3" s="177"/>
      <c r="N3" s="190"/>
      <c r="O3" s="239"/>
      <c r="Q3" s="14"/>
      <c r="S3" s="14"/>
      <c r="W3" s="225"/>
      <c r="X3" s="190"/>
      <c r="Y3" s="14" t="s">
        <v>169</v>
      </c>
      <c r="AA3" s="14"/>
      <c r="AB3" s="14"/>
      <c r="AC3" s="14"/>
      <c r="AD3" s="14"/>
    </row>
    <row r="4" spans="1:45" ht="18" customHeight="1" x14ac:dyDescent="0.45">
      <c r="B4" s="185" t="s">
        <v>84</v>
      </c>
      <c r="C4" s="603" t="str">
        <f>'Site Base Data'!C4</f>
        <v>Michigan</v>
      </c>
      <c r="D4" s="101"/>
      <c r="E4" s="24"/>
      <c r="F4" s="151"/>
      <c r="G4" s="239"/>
      <c r="H4" s="190"/>
      <c r="I4" s="14"/>
      <c r="K4" s="14"/>
      <c r="M4" s="14"/>
      <c r="O4" s="14"/>
      <c r="Q4" s="14"/>
      <c r="S4" s="14"/>
      <c r="W4" s="232"/>
      <c r="X4" s="190"/>
      <c r="Y4" s="14" t="s">
        <v>105</v>
      </c>
      <c r="AA4" s="14"/>
      <c r="AB4" s="14"/>
      <c r="AC4" s="14"/>
      <c r="AD4" s="14"/>
    </row>
    <row r="5" spans="1:45" ht="18" customHeight="1" x14ac:dyDescent="0.3">
      <c r="B5" s="186" t="s">
        <v>85</v>
      </c>
      <c r="C5" s="603" t="str">
        <f>'Site Base Data'!C5</f>
        <v>115th &amp; Michigan</v>
      </c>
      <c r="D5" s="176"/>
      <c r="E5" s="176"/>
      <c r="F5" s="176"/>
      <c r="G5" s="176"/>
      <c r="H5" s="190"/>
      <c r="I5" s="14"/>
      <c r="K5" s="14"/>
      <c r="M5" s="14"/>
      <c r="O5" s="14"/>
      <c r="Q5" s="14"/>
      <c r="W5" s="234"/>
      <c r="Y5" s="14" t="s">
        <v>171</v>
      </c>
    </row>
    <row r="6" spans="1:45" ht="18" customHeight="1" x14ac:dyDescent="0.3">
      <c r="B6" s="186" t="s">
        <v>2</v>
      </c>
      <c r="C6" s="603">
        <f>'Site Base Data'!C6</f>
        <v>1</v>
      </c>
      <c r="D6" s="180"/>
      <c r="E6" s="177"/>
      <c r="F6" s="177"/>
      <c r="G6" s="14"/>
      <c r="I6" s="14"/>
      <c r="J6" s="182"/>
      <c r="K6" s="182"/>
      <c r="L6" s="182"/>
      <c r="M6" s="72"/>
      <c r="O6" s="14"/>
      <c r="Q6" s="14"/>
      <c r="W6" s="226"/>
      <c r="Y6" s="14" t="s">
        <v>82</v>
      </c>
    </row>
    <row r="7" spans="1:45" s="14" customFormat="1" ht="18" customHeight="1" x14ac:dyDescent="0.3">
      <c r="B7" s="96"/>
      <c r="C7" s="586"/>
      <c r="D7" s="187"/>
      <c r="E7" s="187"/>
      <c r="F7" s="176"/>
      <c r="G7" s="243"/>
      <c r="W7" s="177"/>
      <c r="X7" s="608"/>
      <c r="Y7" s="182"/>
    </row>
    <row r="8" spans="1:45" s="14" customFormat="1" ht="18" customHeight="1" x14ac:dyDescent="0.3">
      <c r="D8" s="97"/>
      <c r="E8" s="147"/>
      <c r="F8" s="1"/>
    </row>
    <row r="9" spans="1:45" s="14" customFormat="1" ht="16.5" customHeight="1" thickBot="1" x14ac:dyDescent="0.35">
      <c r="C9" s="664" t="s">
        <v>133</v>
      </c>
      <c r="D9" s="664"/>
      <c r="E9" s="664"/>
    </row>
    <row r="10" spans="1:45" s="23" customFormat="1" ht="16.5" customHeight="1" x14ac:dyDescent="0.35">
      <c r="C10" s="659" t="s">
        <v>42</v>
      </c>
      <c r="D10" s="660"/>
      <c r="E10" s="660"/>
      <c r="F10" s="660"/>
      <c r="G10" s="660"/>
      <c r="H10" s="660"/>
      <c r="I10" s="660"/>
      <c r="J10" s="660"/>
      <c r="K10" s="660"/>
      <c r="L10" s="660"/>
      <c r="M10" s="660"/>
      <c r="N10" s="660"/>
      <c r="O10" s="660"/>
      <c r="P10" s="660"/>
      <c r="Q10" s="660"/>
      <c r="R10" s="660"/>
      <c r="S10" s="660"/>
      <c r="T10" s="660"/>
      <c r="U10" s="660"/>
      <c r="V10" s="660"/>
      <c r="W10" s="660"/>
      <c r="X10" s="660"/>
      <c r="Y10" s="660"/>
      <c r="Z10" s="661"/>
    </row>
    <row r="11" spans="1:45" s="40" customFormat="1" ht="16.5" customHeight="1" x14ac:dyDescent="0.35">
      <c r="C11" s="325"/>
      <c r="D11" s="41"/>
      <c r="E11" s="41" t="s">
        <v>152</v>
      </c>
      <c r="F11" s="41"/>
      <c r="G11" s="42" t="s">
        <v>27</v>
      </c>
      <c r="H11" s="42"/>
      <c r="I11" s="42" t="s">
        <v>28</v>
      </c>
      <c r="J11" s="42"/>
      <c r="K11" s="42" t="s">
        <v>29</v>
      </c>
      <c r="L11" s="42"/>
      <c r="M11" s="42" t="s">
        <v>30</v>
      </c>
      <c r="N11" s="42"/>
      <c r="O11" s="42" t="s">
        <v>31</v>
      </c>
      <c r="P11" s="42"/>
      <c r="Q11" s="42" t="s">
        <v>32</v>
      </c>
      <c r="R11" s="42"/>
      <c r="S11" s="42" t="s">
        <v>33</v>
      </c>
      <c r="T11" s="42"/>
      <c r="U11" s="42" t="s">
        <v>34</v>
      </c>
      <c r="V11" s="42"/>
      <c r="W11" s="42" t="s">
        <v>35</v>
      </c>
      <c r="X11" s="42"/>
      <c r="Y11" s="42" t="s">
        <v>36</v>
      </c>
      <c r="Z11" s="326"/>
    </row>
    <row r="12" spans="1:45" s="23" customFormat="1" ht="16.5" customHeight="1" x14ac:dyDescent="0.35">
      <c r="C12" s="327" t="s">
        <v>43</v>
      </c>
      <c r="D12" s="662"/>
      <c r="E12" s="663"/>
      <c r="F12" s="282"/>
      <c r="G12" s="22" t="s">
        <v>27</v>
      </c>
      <c r="H12" s="22"/>
      <c r="I12" s="22" t="s">
        <v>28</v>
      </c>
      <c r="J12" s="22"/>
      <c r="K12" s="22" t="s">
        <v>29</v>
      </c>
      <c r="L12" s="22"/>
      <c r="M12" s="22" t="s">
        <v>30</v>
      </c>
      <c r="N12" s="22"/>
      <c r="O12" s="22" t="s">
        <v>31</v>
      </c>
      <c r="P12" s="22"/>
      <c r="Q12" s="22" t="s">
        <v>32</v>
      </c>
      <c r="R12" s="22"/>
      <c r="S12" s="22" t="s">
        <v>33</v>
      </c>
      <c r="T12" s="22"/>
      <c r="U12" s="22" t="s">
        <v>34</v>
      </c>
      <c r="V12" s="22"/>
      <c r="W12" s="22" t="s">
        <v>35</v>
      </c>
      <c r="X12" s="22"/>
      <c r="Y12" s="22" t="s">
        <v>36</v>
      </c>
      <c r="Z12" s="328"/>
    </row>
    <row r="13" spans="1:45" s="20" customFormat="1" ht="16.5" customHeight="1" x14ac:dyDescent="0.35">
      <c r="C13" s="329" t="s">
        <v>60</v>
      </c>
      <c r="D13" s="43"/>
      <c r="E13" s="44"/>
      <c r="F13" s="43"/>
      <c r="G13" s="233">
        <f>'Rent Roll'!$J17</f>
        <v>1431984</v>
      </c>
      <c r="H13" s="43"/>
      <c r="I13" s="44">
        <f>G13*1.03</f>
        <v>1474943.52</v>
      </c>
      <c r="J13" s="43"/>
      <c r="K13" s="44">
        <f>I13*1.03</f>
        <v>1519191.8256000001</v>
      </c>
      <c r="L13" s="43"/>
      <c r="M13" s="44">
        <f>K13*1.03</f>
        <v>1564767.5803680001</v>
      </c>
      <c r="N13" s="43"/>
      <c r="O13" s="44">
        <f>M13*1.03</f>
        <v>1611710.6077790402</v>
      </c>
      <c r="P13" s="43"/>
      <c r="Q13" s="44">
        <f>O13*1.03</f>
        <v>1660061.9260124115</v>
      </c>
      <c r="R13" s="43"/>
      <c r="S13" s="44">
        <f>Q13*1.03</f>
        <v>1709863.783792784</v>
      </c>
      <c r="T13" s="43"/>
      <c r="U13" s="44">
        <f>S13*1.03</f>
        <v>1761159.6973065676</v>
      </c>
      <c r="V13" s="43"/>
      <c r="W13" s="44">
        <f>U13*1.03</f>
        <v>1813994.4882257646</v>
      </c>
      <c r="X13" s="43"/>
      <c r="Y13" s="44">
        <f>W13*1.03</f>
        <v>1868414.3228725377</v>
      </c>
      <c r="Z13" s="330"/>
    </row>
    <row r="14" spans="1:45" s="20" customFormat="1" ht="16.5" customHeight="1" x14ac:dyDescent="0.3">
      <c r="C14" s="332" t="s">
        <v>212</v>
      </c>
      <c r="D14" s="23"/>
      <c r="F14" s="23"/>
      <c r="G14" s="438">
        <f>-G22*'Site Base Data'!E$14/'Site Base Data'!E$22</f>
        <v>42469.320650906884</v>
      </c>
      <c r="H14" s="23"/>
      <c r="I14" s="382">
        <f>G14*1.03</f>
        <v>43743.400270434089</v>
      </c>
      <c r="J14" s="23"/>
      <c r="K14" s="382">
        <f>I14*1.03</f>
        <v>45055.702278547113</v>
      </c>
      <c r="L14" s="23"/>
      <c r="M14" s="382">
        <f>K14*1.03</f>
        <v>46407.373346903529</v>
      </c>
      <c r="N14" s="23"/>
      <c r="O14" s="382">
        <f>M14*1.03</f>
        <v>47799.594547310633</v>
      </c>
      <c r="P14" s="23"/>
      <c r="Q14" s="382">
        <f>O14*1.03</f>
        <v>49233.582383729954</v>
      </c>
      <c r="R14" s="23"/>
      <c r="S14" s="382">
        <f>Q14*1.03</f>
        <v>50710.589855241851</v>
      </c>
      <c r="T14" s="23"/>
      <c r="U14" s="382">
        <f>S14*1.03</f>
        <v>52231.907550899108</v>
      </c>
      <c r="V14" s="23"/>
      <c r="W14" s="382">
        <f>U14*1.03</f>
        <v>53798.864777426083</v>
      </c>
      <c r="X14" s="23"/>
      <c r="Y14" s="382">
        <f>W14*1.03</f>
        <v>55412.830720748869</v>
      </c>
      <c r="Z14" s="331"/>
      <c r="AB14" s="2"/>
      <c r="AC14" s="1"/>
      <c r="AD14" s="1"/>
      <c r="AE14" s="1"/>
      <c r="AF14" s="1"/>
      <c r="AG14" s="1"/>
      <c r="AH14" s="3"/>
      <c r="AI14" s="3"/>
      <c r="AJ14" s="3"/>
      <c r="AK14" s="3"/>
      <c r="AL14" s="1"/>
      <c r="AM14" s="3"/>
      <c r="AN14" s="3"/>
      <c r="AO14" s="1"/>
      <c r="AP14" s="1"/>
      <c r="AQ14" s="1"/>
      <c r="AR14" s="1"/>
      <c r="AS14" s="1"/>
    </row>
    <row r="15" spans="1:45" s="20" customFormat="1" ht="16.5" customHeight="1" x14ac:dyDescent="0.35">
      <c r="C15" s="332" t="s">
        <v>61</v>
      </c>
      <c r="D15" s="46">
        <v>0.75</v>
      </c>
      <c r="E15" s="248">
        <v>0.2</v>
      </c>
      <c r="F15" s="23"/>
      <c r="G15" s="47">
        <f>G13*-$E$15</f>
        <v>-286396.79999999999</v>
      </c>
      <c r="H15" s="48"/>
      <c r="I15" s="44">
        <f>G15*0.95</f>
        <v>-272076.95999999996</v>
      </c>
      <c r="J15" s="43"/>
      <c r="K15" s="44">
        <f>I15*0.95</f>
        <v>-258473.11199999996</v>
      </c>
      <c r="L15" s="43"/>
      <c r="M15" s="44">
        <f>K15*0.95</f>
        <v>-245549.45639999997</v>
      </c>
      <c r="N15" s="43"/>
      <c r="O15" s="44">
        <f>M15*0.95</f>
        <v>-233271.98357999997</v>
      </c>
      <c r="P15" s="43"/>
      <c r="Q15" s="44">
        <f>O15*0.95</f>
        <v>-221608.38440099996</v>
      </c>
      <c r="R15" s="43"/>
      <c r="S15" s="44">
        <f>Q15*0.95</f>
        <v>-210527.96518094995</v>
      </c>
      <c r="T15" s="43"/>
      <c r="U15" s="44">
        <f>S15*0.95</f>
        <v>-200001.56692190244</v>
      </c>
      <c r="V15" s="43"/>
      <c r="W15" s="44">
        <f>U15*0.95</f>
        <v>-190001.48857580731</v>
      </c>
      <c r="X15" s="43"/>
      <c r="Y15" s="44">
        <f>W15*0.95</f>
        <v>-180501.41414701694</v>
      </c>
      <c r="Z15" s="330"/>
    </row>
    <row r="16" spans="1:45" s="45" customFormat="1" ht="16.5" customHeight="1" x14ac:dyDescent="0.35">
      <c r="C16" s="333" t="s">
        <v>207</v>
      </c>
      <c r="D16" s="76"/>
      <c r="E16" s="76"/>
      <c r="F16" s="76"/>
      <c r="G16" s="76">
        <f>G13+G15+G14</f>
        <v>1188056.520650907</v>
      </c>
      <c r="H16" s="76"/>
      <c r="I16" s="76">
        <f>I13+I15+I14</f>
        <v>1246609.9602704342</v>
      </c>
      <c r="J16" s="76"/>
      <c r="K16" s="76">
        <f>K13+K15+K14</f>
        <v>1305774.4158785474</v>
      </c>
      <c r="L16" s="76"/>
      <c r="M16" s="76">
        <f>M13+M15+M14</f>
        <v>1365625.4973149037</v>
      </c>
      <c r="N16" s="76"/>
      <c r="O16" s="76">
        <f>O13+O15+O14</f>
        <v>1426238.2187463508</v>
      </c>
      <c r="P16" s="76"/>
      <c r="Q16" s="76">
        <f>Q13+Q15+Q14</f>
        <v>1487687.1239951416</v>
      </c>
      <c r="R16" s="76"/>
      <c r="S16" s="76">
        <f>S13+S15+S14</f>
        <v>1550046.4084670758</v>
      </c>
      <c r="T16" s="76"/>
      <c r="U16" s="76">
        <f>U13+U15+U14</f>
        <v>1613390.0379355643</v>
      </c>
      <c r="V16" s="76"/>
      <c r="W16" s="76">
        <f>W13+W15+W14</f>
        <v>1677791.8644273833</v>
      </c>
      <c r="X16" s="76"/>
      <c r="Y16" s="76">
        <f>Y13+Y15+Y14</f>
        <v>1743325.7394462693</v>
      </c>
      <c r="Z16" s="334"/>
      <c r="AC16" s="51"/>
      <c r="AD16" s="51"/>
      <c r="AE16" s="51"/>
      <c r="AF16" s="51"/>
    </row>
    <row r="17" spans="3:32" s="20" customFormat="1" ht="16.5" customHeight="1" x14ac:dyDescent="0.35">
      <c r="C17" s="335" t="s">
        <v>62</v>
      </c>
      <c r="D17" s="23"/>
      <c r="E17" s="53" t="s">
        <v>24</v>
      </c>
      <c r="F17" s="53"/>
      <c r="G17" s="52"/>
      <c r="H17" s="53"/>
      <c r="I17" s="52"/>
      <c r="J17" s="53"/>
      <c r="K17" s="52"/>
      <c r="L17" s="53"/>
      <c r="M17" s="52"/>
      <c r="N17" s="53"/>
      <c r="O17" s="52"/>
      <c r="P17" s="53"/>
      <c r="Q17" s="52"/>
      <c r="R17" s="53"/>
      <c r="S17" s="52"/>
      <c r="T17" s="53"/>
      <c r="U17" s="52"/>
      <c r="V17" s="53"/>
      <c r="W17" s="52"/>
      <c r="X17" s="53"/>
      <c r="Y17" s="52"/>
      <c r="Z17" s="336"/>
      <c r="AC17" s="49"/>
      <c r="AD17" s="50"/>
      <c r="AE17" s="50"/>
      <c r="AF17" s="50"/>
    </row>
    <row r="18" spans="3:32" s="20" customFormat="1" ht="16.5" customHeight="1" x14ac:dyDescent="0.35">
      <c r="C18" s="337" t="s">
        <v>65</v>
      </c>
      <c r="D18" s="54"/>
      <c r="E18" s="55">
        <v>4</v>
      </c>
      <c r="F18" s="55"/>
      <c r="G18" s="227">
        <f>-E18*'Site Base Data'!E$22</f>
        <v>-428940</v>
      </c>
      <c r="H18" s="54"/>
      <c r="I18" s="44">
        <f>G18*1.03</f>
        <v>-441808.2</v>
      </c>
      <c r="J18" s="43"/>
      <c r="K18" s="44">
        <f>I18*1.03</f>
        <v>-455062.446</v>
      </c>
      <c r="L18" s="43"/>
      <c r="M18" s="44">
        <f>K18*1.03</f>
        <v>-468714.31938</v>
      </c>
      <c r="N18" s="43"/>
      <c r="O18" s="44">
        <f>M18*1.03</f>
        <v>-482775.74896140001</v>
      </c>
      <c r="P18" s="43"/>
      <c r="Q18" s="44">
        <f>O18*1.03</f>
        <v>-497259.02143024205</v>
      </c>
      <c r="R18" s="43"/>
      <c r="S18" s="44">
        <f>Q18*1.03</f>
        <v>-512176.79207314935</v>
      </c>
      <c r="T18" s="43"/>
      <c r="U18" s="44">
        <f>S18*1.03</f>
        <v>-527542.09583534382</v>
      </c>
      <c r="V18" s="43"/>
      <c r="W18" s="44">
        <f>U18*1.03</f>
        <v>-543368.35871040414</v>
      </c>
      <c r="X18" s="43"/>
      <c r="Y18" s="44">
        <f t="shared" ref="Y18:Y21" si="0">W18*1.03</f>
        <v>-559669.40947171627</v>
      </c>
      <c r="Z18" s="330"/>
      <c r="AC18" s="49"/>
      <c r="AD18" s="50"/>
      <c r="AE18" s="50"/>
      <c r="AF18" s="50"/>
    </row>
    <row r="19" spans="3:32" s="20" customFormat="1" ht="16.5" customHeight="1" x14ac:dyDescent="0.35">
      <c r="C19" s="338" t="s">
        <v>25</v>
      </c>
      <c r="D19" s="57"/>
      <c r="E19" s="380">
        <v>0.03</v>
      </c>
      <c r="F19" s="57"/>
      <c r="G19" s="56">
        <f>-E19*G13</f>
        <v>-42959.519999999997</v>
      </c>
      <c r="H19" s="54"/>
      <c r="I19" s="44">
        <f>G19*1.03</f>
        <v>-44248.3056</v>
      </c>
      <c r="J19" s="43"/>
      <c r="K19" s="44">
        <f>I19*1.03</f>
        <v>-45575.754767999999</v>
      </c>
      <c r="L19" s="43"/>
      <c r="M19" s="44">
        <f>K19*1.03</f>
        <v>-46943.027411039999</v>
      </c>
      <c r="N19" s="43"/>
      <c r="O19" s="44">
        <f>M19*1.03</f>
        <v>-48351.318233371203</v>
      </c>
      <c r="P19" s="43"/>
      <c r="Q19" s="44">
        <f>O19*1.03</f>
        <v>-49801.857780372338</v>
      </c>
      <c r="R19" s="43"/>
      <c r="S19" s="44">
        <f>Q19*1.03</f>
        <v>-51295.913513783511</v>
      </c>
      <c r="T19" s="43"/>
      <c r="U19" s="44">
        <f>S19*1.03</f>
        <v>-52834.790919197018</v>
      </c>
      <c r="V19" s="43"/>
      <c r="W19" s="44">
        <f>U19*1.03</f>
        <v>-54419.834646772928</v>
      </c>
      <c r="X19" s="43"/>
      <c r="Y19" s="44">
        <f t="shared" si="0"/>
        <v>-56052.429686176118</v>
      </c>
      <c r="Z19" s="330"/>
      <c r="AC19" s="58"/>
      <c r="AD19" s="50"/>
      <c r="AE19" s="50"/>
      <c r="AF19" s="50"/>
    </row>
    <row r="20" spans="3:32" ht="16.5" customHeight="1" x14ac:dyDescent="0.3">
      <c r="C20" s="338" t="s">
        <v>205</v>
      </c>
      <c r="D20" s="57"/>
      <c r="E20" s="381">
        <v>2</v>
      </c>
      <c r="F20" s="57"/>
      <c r="G20" s="227">
        <f>-E20*'Site Base Data'!E$14</f>
        <v>-10000</v>
      </c>
      <c r="H20" s="54"/>
      <c r="I20" s="44">
        <f>G20*1.03</f>
        <v>-10300</v>
      </c>
      <c r="J20" s="43"/>
      <c r="K20" s="44">
        <f>I20*1.03</f>
        <v>-10609</v>
      </c>
      <c r="L20" s="43"/>
      <c r="M20" s="44">
        <f>K20*1.03</f>
        <v>-10927.27</v>
      </c>
      <c r="N20" s="43"/>
      <c r="O20" s="44">
        <f>M20*1.03</f>
        <v>-11255.088100000001</v>
      </c>
      <c r="P20" s="43"/>
      <c r="Q20" s="44">
        <f>O20*1.03</f>
        <v>-11592.740743</v>
      </c>
      <c r="R20" s="43"/>
      <c r="S20" s="44">
        <f>Q20*1.03</f>
        <v>-11940.52296529</v>
      </c>
      <c r="T20" s="43"/>
      <c r="U20" s="44">
        <f>S20*1.03</f>
        <v>-12298.7386542487</v>
      </c>
      <c r="V20" s="43"/>
      <c r="W20" s="44">
        <f>U20*1.03</f>
        <v>-12667.700813876161</v>
      </c>
      <c r="X20" s="43"/>
      <c r="Y20" s="44">
        <f t="shared" si="0"/>
        <v>-13047.731838292446</v>
      </c>
      <c r="Z20" s="330"/>
    </row>
    <row r="21" spans="3:32" s="20" customFormat="1" ht="16.5" customHeight="1" x14ac:dyDescent="0.35">
      <c r="C21" s="338" t="s">
        <v>63</v>
      </c>
      <c r="D21" s="59"/>
      <c r="E21" s="55">
        <v>4</v>
      </c>
      <c r="F21" s="55"/>
      <c r="G21" s="227">
        <f>-E21*'Site Base Data'!E$22</f>
        <v>-428940</v>
      </c>
      <c r="H21" s="54"/>
      <c r="I21" s="44">
        <f>G21*1.03</f>
        <v>-441808.2</v>
      </c>
      <c r="J21" s="43"/>
      <c r="K21" s="44">
        <f>I21*1.03</f>
        <v>-455062.446</v>
      </c>
      <c r="L21" s="43"/>
      <c r="M21" s="44">
        <f>K21*1.03</f>
        <v>-468714.31938</v>
      </c>
      <c r="N21" s="43"/>
      <c r="O21" s="44">
        <f>M21*1.03</f>
        <v>-482775.74896140001</v>
      </c>
      <c r="P21" s="43"/>
      <c r="Q21" s="44">
        <f>O21*1.03</f>
        <v>-497259.02143024205</v>
      </c>
      <c r="R21" s="43"/>
      <c r="S21" s="44">
        <f>Q21*1.03</f>
        <v>-512176.79207314935</v>
      </c>
      <c r="T21" s="43"/>
      <c r="U21" s="44">
        <f>S21*1.03</f>
        <v>-527542.09583534382</v>
      </c>
      <c r="V21" s="43"/>
      <c r="W21" s="44">
        <f>U21*1.03</f>
        <v>-543368.35871040414</v>
      </c>
      <c r="X21" s="43"/>
      <c r="Y21" s="44">
        <f t="shared" si="0"/>
        <v>-559669.40947171627</v>
      </c>
      <c r="Z21" s="330"/>
      <c r="AC21" s="49"/>
      <c r="AD21" s="50"/>
      <c r="AE21" s="50"/>
      <c r="AF21" s="50"/>
    </row>
    <row r="22" spans="3:32" s="60" customFormat="1" ht="16.5" customHeight="1" x14ac:dyDescent="0.35">
      <c r="C22" s="333" t="s">
        <v>26</v>
      </c>
      <c r="D22" s="77"/>
      <c r="E22" s="78"/>
      <c r="F22" s="79"/>
      <c r="G22" s="76">
        <f>SUM(G18:G21)</f>
        <v>-910839.52</v>
      </c>
      <c r="H22" s="79"/>
      <c r="I22" s="76">
        <f>SUM(I18:I21)</f>
        <v>-938164.70559999999</v>
      </c>
      <c r="J22" s="79"/>
      <c r="K22" s="76">
        <f>SUM(K18:K21)</f>
        <v>-966309.64676799998</v>
      </c>
      <c r="L22" s="79"/>
      <c r="M22" s="76">
        <f>SUM(M18:M21)</f>
        <v>-995298.93617103994</v>
      </c>
      <c r="N22" s="79"/>
      <c r="O22" s="76">
        <f>SUM(O18:O21)</f>
        <v>-1025157.9042561713</v>
      </c>
      <c r="P22" s="79"/>
      <c r="Q22" s="76">
        <f>SUM(Q18:Q21)</f>
        <v>-1055912.6413838563</v>
      </c>
      <c r="R22" s="79"/>
      <c r="S22" s="76">
        <f>SUM(S18:S21)</f>
        <v>-1087590.0206253722</v>
      </c>
      <c r="T22" s="79"/>
      <c r="U22" s="76">
        <f>SUM(U18:U21)</f>
        <v>-1120217.7212441333</v>
      </c>
      <c r="V22" s="79"/>
      <c r="W22" s="76">
        <f>SUM(W18:W21)</f>
        <v>-1153824.2528814573</v>
      </c>
      <c r="X22" s="79"/>
      <c r="Y22" s="76">
        <f>SUM(Y18:Y21)</f>
        <v>-1188438.9804679011</v>
      </c>
      <c r="Z22" s="339"/>
    </row>
    <row r="23" spans="3:32" s="20" customFormat="1" ht="16.5" customHeight="1" x14ac:dyDescent="0.35">
      <c r="C23" s="340"/>
      <c r="D23" s="61"/>
      <c r="E23" s="44"/>
      <c r="F23" s="43"/>
      <c r="G23" s="44"/>
      <c r="H23" s="43"/>
      <c r="I23" s="44"/>
      <c r="J23" s="43"/>
      <c r="K23" s="44"/>
      <c r="L23" s="43"/>
      <c r="M23" s="44"/>
      <c r="N23" s="43"/>
      <c r="O23" s="44"/>
      <c r="P23" s="43"/>
      <c r="Q23" s="44"/>
      <c r="R23" s="43"/>
      <c r="S23" s="44"/>
      <c r="T23" s="43"/>
      <c r="U23" s="44"/>
      <c r="V23" s="43"/>
      <c r="W23" s="44"/>
      <c r="X23" s="43"/>
      <c r="Y23" s="44"/>
      <c r="Z23" s="330"/>
    </row>
    <row r="24" spans="3:32" s="45" customFormat="1" ht="16.5" customHeight="1" x14ac:dyDescent="0.35">
      <c r="C24" s="333" t="s">
        <v>64</v>
      </c>
      <c r="D24" s="76"/>
      <c r="E24" s="76"/>
      <c r="F24" s="76"/>
      <c r="G24" s="76">
        <f>G16+G22</f>
        <v>277217.00065090694</v>
      </c>
      <c r="H24" s="76"/>
      <c r="I24" s="76">
        <f>I16+I22</f>
        <v>308445.25467043417</v>
      </c>
      <c r="J24" s="76"/>
      <c r="K24" s="76">
        <f>K16+K22</f>
        <v>339464.76911054738</v>
      </c>
      <c r="L24" s="76"/>
      <c r="M24" s="76">
        <f>M16+M22</f>
        <v>370326.56114386371</v>
      </c>
      <c r="N24" s="76"/>
      <c r="O24" s="76">
        <f>O16+O22</f>
        <v>401080.31449017953</v>
      </c>
      <c r="P24" s="76"/>
      <c r="Q24" s="76">
        <f>Q16+Q22</f>
        <v>431774.48261128529</v>
      </c>
      <c r="R24" s="76"/>
      <c r="S24" s="76">
        <f>S16+S22</f>
        <v>462456.3878417036</v>
      </c>
      <c r="T24" s="76"/>
      <c r="U24" s="76">
        <f>U16+U22</f>
        <v>493172.31669143098</v>
      </c>
      <c r="V24" s="76"/>
      <c r="W24" s="76">
        <f>W16+W22</f>
        <v>523967.61154592596</v>
      </c>
      <c r="X24" s="76"/>
      <c r="Y24" s="76">
        <f>Y16+Y22</f>
        <v>554886.75897836825</v>
      </c>
      <c r="Z24" s="334"/>
    </row>
    <row r="25" spans="3:32" s="63" customFormat="1" ht="16.5" customHeight="1" x14ac:dyDescent="0.35">
      <c r="C25" s="341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342"/>
    </row>
    <row r="26" spans="3:32" s="20" customFormat="1" ht="16.5" customHeight="1" x14ac:dyDescent="0.35">
      <c r="C26" s="329" t="s">
        <v>151</v>
      </c>
      <c r="D26" s="23"/>
      <c r="F26" s="23"/>
      <c r="G26" s="112" t="s">
        <v>39</v>
      </c>
      <c r="H26" s="23"/>
      <c r="J26" s="23"/>
      <c r="L26" s="23"/>
      <c r="N26" s="23"/>
      <c r="P26" s="23"/>
      <c r="R26" s="23"/>
      <c r="T26" s="23"/>
      <c r="V26" s="23"/>
      <c r="X26" s="23"/>
      <c r="Z26" s="331"/>
    </row>
    <row r="27" spans="3:32" s="20" customFormat="1" ht="16.5" customHeight="1" x14ac:dyDescent="0.35">
      <c r="C27" s="343" t="s">
        <v>97</v>
      </c>
      <c r="D27" s="23"/>
      <c r="E27" s="43"/>
      <c r="F27" s="23"/>
      <c r="G27" s="106">
        <f>'Sources Uses'!Q$47</f>
        <v>63671100</v>
      </c>
      <c r="H27" s="23"/>
      <c r="J27" s="23"/>
      <c r="L27" s="23"/>
      <c r="N27" s="23"/>
      <c r="P27" s="23"/>
      <c r="R27" s="23"/>
      <c r="T27" s="23"/>
      <c r="V27" s="23"/>
      <c r="X27" s="23"/>
      <c r="Z27" s="331"/>
    </row>
    <row r="28" spans="3:32" s="20" customFormat="1" ht="16.5" customHeight="1" x14ac:dyDescent="0.35">
      <c r="C28" s="332" t="s">
        <v>180</v>
      </c>
      <c r="D28" s="23"/>
      <c r="E28" s="385">
        <v>0.12</v>
      </c>
      <c r="F28" s="43"/>
      <c r="G28" s="43">
        <f>$G$27*E28</f>
        <v>7640532</v>
      </c>
      <c r="H28" s="43"/>
      <c r="J28" s="23"/>
      <c r="L28" s="23"/>
      <c r="N28" s="23"/>
      <c r="P28" s="23"/>
      <c r="R28" s="23"/>
      <c r="T28" s="23"/>
      <c r="V28" s="23"/>
      <c r="X28" s="23"/>
      <c r="Z28" s="331"/>
    </row>
    <row r="29" spans="3:32" s="20" customFormat="1" ht="16.5" customHeight="1" x14ac:dyDescent="0.35">
      <c r="C29" s="332" t="s">
        <v>181</v>
      </c>
      <c r="D29" s="23"/>
      <c r="E29" s="385">
        <v>7.4999999999999997E-2</v>
      </c>
      <c r="F29" s="43"/>
      <c r="G29" s="43">
        <f>$G$27*E29</f>
        <v>4775332.5</v>
      </c>
      <c r="H29" s="43"/>
      <c r="J29" s="23"/>
      <c r="L29" s="23"/>
      <c r="N29" s="23"/>
      <c r="P29" s="23"/>
      <c r="R29" s="23"/>
      <c r="T29" s="23"/>
      <c r="V29" s="23"/>
      <c r="X29" s="23"/>
      <c r="Z29" s="331"/>
    </row>
    <row r="30" spans="3:32" s="20" customFormat="1" ht="16.5" customHeight="1" x14ac:dyDescent="0.35">
      <c r="C30" s="332" t="s">
        <v>182</v>
      </c>
      <c r="D30" s="23"/>
      <c r="E30" s="385">
        <f>SUM(1-E28-E29)</f>
        <v>0.80500000000000005</v>
      </c>
      <c r="F30" s="43"/>
      <c r="G30" s="43">
        <f>$G$27*E30</f>
        <v>51255235.5</v>
      </c>
      <c r="H30" s="43"/>
      <c r="J30" s="23"/>
      <c r="L30" s="23"/>
      <c r="N30" s="23"/>
      <c r="P30" s="23"/>
      <c r="R30" s="23"/>
      <c r="T30" s="23"/>
      <c r="V30" s="23"/>
      <c r="X30" s="23"/>
      <c r="Z30" s="331"/>
    </row>
    <row r="31" spans="3:32" s="20" customFormat="1" ht="16.5" customHeight="1" x14ac:dyDescent="0.35">
      <c r="C31" s="338"/>
      <c r="D31" s="23"/>
      <c r="F31" s="23"/>
      <c r="H31" s="23"/>
      <c r="J31" s="23"/>
      <c r="L31" s="23"/>
      <c r="N31" s="23"/>
      <c r="P31" s="23"/>
      <c r="R31" s="23"/>
      <c r="T31" s="23"/>
      <c r="V31" s="23"/>
      <c r="X31" s="23"/>
      <c r="Z31" s="331"/>
      <c r="AC31" s="64"/>
    </row>
    <row r="32" spans="3:32" s="20" customFormat="1" ht="16.5" customHeight="1" x14ac:dyDescent="0.35">
      <c r="C32" s="335" t="s">
        <v>92</v>
      </c>
      <c r="D32" s="23"/>
      <c r="F32" s="23"/>
      <c r="G32" s="107">
        <f>Financing!$E$19</f>
        <v>325400</v>
      </c>
      <c r="H32" s="23"/>
      <c r="I32" s="91">
        <f>Financing!$E$19</f>
        <v>325400</v>
      </c>
      <c r="J32" s="23"/>
      <c r="K32" s="91">
        <f>Financing!$E$19</f>
        <v>325400</v>
      </c>
      <c r="L32" s="23"/>
      <c r="M32" s="91">
        <f>Financing!$E$19</f>
        <v>325400</v>
      </c>
      <c r="N32" s="23"/>
      <c r="O32" s="91">
        <f>Financing!$E$19</f>
        <v>325400</v>
      </c>
      <c r="P32" s="23"/>
      <c r="Q32" s="91">
        <f>Financing!$E$19</f>
        <v>325400</v>
      </c>
      <c r="R32" s="23"/>
      <c r="S32" s="91">
        <f>Financing!$E$19</f>
        <v>325400</v>
      </c>
      <c r="T32" s="23"/>
      <c r="U32" s="91">
        <f>Financing!$E$19</f>
        <v>325400</v>
      </c>
      <c r="V32" s="91"/>
      <c r="W32" s="91">
        <f>Financing!$E$19</f>
        <v>325400</v>
      </c>
      <c r="X32" s="23"/>
      <c r="Y32" s="91">
        <f>Financing!$E$19</f>
        <v>325400</v>
      </c>
      <c r="Z32" s="331"/>
      <c r="AC32" s="64"/>
    </row>
    <row r="33" spans="3:45" s="65" customFormat="1" ht="16.5" customHeight="1" thickBot="1" x14ac:dyDescent="0.4">
      <c r="C33" s="327" t="s">
        <v>59</v>
      </c>
      <c r="D33" s="80"/>
      <c r="E33" s="80"/>
      <c r="F33" s="81"/>
      <c r="G33" s="82">
        <f>G24-G32</f>
        <v>-48182.999349093065</v>
      </c>
      <c r="H33" s="82"/>
      <c r="I33" s="83">
        <f>I24-I32</f>
        <v>-16954.745329565834</v>
      </c>
      <c r="J33" s="83"/>
      <c r="K33" s="83">
        <f>K24-K32</f>
        <v>14064.769110547379</v>
      </c>
      <c r="L33" s="83"/>
      <c r="M33" s="83">
        <f>M24-M32</f>
        <v>44926.561143863713</v>
      </c>
      <c r="N33" s="83"/>
      <c r="O33" s="83">
        <f>O24-O32</f>
        <v>75680.314490179531</v>
      </c>
      <c r="P33" s="83"/>
      <c r="Q33" s="83">
        <f>Q24-Q32</f>
        <v>106374.48261128529</v>
      </c>
      <c r="R33" s="83"/>
      <c r="S33" s="83">
        <f>S24-S32</f>
        <v>137056.3878417036</v>
      </c>
      <c r="T33" s="83"/>
      <c r="U33" s="83">
        <f>U24-U32</f>
        <v>167772.31669143098</v>
      </c>
      <c r="V33" s="83"/>
      <c r="W33" s="83">
        <f>W24-W32</f>
        <v>198567.61154592596</v>
      </c>
      <c r="X33" s="83"/>
      <c r="Y33" s="83">
        <f>Y24-Y32</f>
        <v>229486.75897836825</v>
      </c>
      <c r="Z33" s="344"/>
    </row>
    <row r="34" spans="3:45" s="23" customFormat="1" ht="16.5" customHeight="1" thickBot="1" x14ac:dyDescent="0.4">
      <c r="C34" s="345" t="s">
        <v>94</v>
      </c>
      <c r="G34" s="66">
        <f>SUM(G24/G32)</f>
        <v>0.85192686125048234</v>
      </c>
      <c r="H34" s="66"/>
      <c r="I34" s="66">
        <f>SUM(I24/I32)</f>
        <v>0.94789568122444423</v>
      </c>
      <c r="J34" s="66"/>
      <c r="K34" s="388">
        <f>SUM(K24/K32)</f>
        <v>1.0432230150908033</v>
      </c>
      <c r="L34" s="66"/>
      <c r="M34" s="66">
        <f>SUM(M24/M32)</f>
        <v>1.1380656458016709</v>
      </c>
      <c r="N34" s="66"/>
      <c r="O34" s="66">
        <f>SUM(O24/O32)</f>
        <v>1.2325762584209574</v>
      </c>
      <c r="P34" s="66">
        <v>1</v>
      </c>
      <c r="Q34" s="66">
        <f>SUM(Q24/Q32)</f>
        <v>1.3269037572565621</v>
      </c>
      <c r="R34" s="66"/>
      <c r="S34" s="66">
        <f>SUM(S24/S32)</f>
        <v>1.4211935705030843</v>
      </c>
      <c r="T34" s="66"/>
      <c r="U34" s="66">
        <f>SUM(U24/U32)</f>
        <v>1.5155879431205623</v>
      </c>
      <c r="V34" s="66"/>
      <c r="W34" s="66">
        <f>SUM(W24/W32)</f>
        <v>1.6102262186414442</v>
      </c>
      <c r="X34" s="66"/>
      <c r="Y34" s="66">
        <f>SUM(Y24/Y32)</f>
        <v>1.7052451105665896</v>
      </c>
      <c r="Z34" s="346"/>
    </row>
    <row r="35" spans="3:45" s="23" customFormat="1" ht="16.5" customHeight="1" x14ac:dyDescent="0.3">
      <c r="C35" s="327" t="s">
        <v>37</v>
      </c>
      <c r="D35" s="84"/>
      <c r="E35" s="85"/>
      <c r="F35" s="86"/>
      <c r="G35" s="87">
        <f>(G33)/$G$28</f>
        <v>-6.3062361821262011E-3</v>
      </c>
      <c r="H35" s="87"/>
      <c r="I35" s="87">
        <f>(I33)/$G$28</f>
        <v>-2.2190529834265251E-3</v>
      </c>
      <c r="J35" s="87"/>
      <c r="K35" s="87">
        <f>(K33)/$G$28</f>
        <v>1.840810183184545E-3</v>
      </c>
      <c r="L35" s="87"/>
      <c r="M35" s="87">
        <f>(M33)/$G$28</f>
        <v>5.8800304931467748E-3</v>
      </c>
      <c r="N35" s="87"/>
      <c r="O35" s="87">
        <f>(O33)/$G$28</f>
        <v>9.9051105983430903E-3</v>
      </c>
      <c r="P35" s="87"/>
      <c r="Q35" s="87">
        <f>(Q33)/$G$28</f>
        <v>1.3922392133333817E-2</v>
      </c>
      <c r="R35" s="87"/>
      <c r="S35" s="87">
        <f>(S33)/$G$28</f>
        <v>1.793806868968072E-2</v>
      </c>
      <c r="T35" s="87"/>
      <c r="U35" s="87">
        <f>(U33)/$G$28</f>
        <v>2.1958198289259306E-2</v>
      </c>
      <c r="V35" s="87"/>
      <c r="W35" s="87">
        <f>(W33)/$G$28</f>
        <v>2.5988715386039345E-2</v>
      </c>
      <c r="X35" s="87"/>
      <c r="Y35" s="87">
        <f>(Y33)/$G$28</f>
        <v>3.0035442424476234E-2</v>
      </c>
      <c r="Z35" s="347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</row>
    <row r="36" spans="3:45" s="14" customFormat="1" ht="16.5" customHeight="1" x14ac:dyDescent="0.3">
      <c r="C36" s="348"/>
      <c r="E36" s="17"/>
      <c r="F36" s="17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349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</row>
    <row r="37" spans="3:45" s="23" customFormat="1" ht="16.5" customHeight="1" thickBot="1" x14ac:dyDescent="0.35">
      <c r="C37" s="350" t="s">
        <v>96</v>
      </c>
      <c r="D37" s="351"/>
      <c r="E37" s="352"/>
      <c r="F37" s="353"/>
      <c r="G37" s="354">
        <f>(G33)/$G$27</f>
        <v>-7.5674834185514414E-4</v>
      </c>
      <c r="H37" s="354"/>
      <c r="I37" s="354">
        <f>(I33)/$G$27</f>
        <v>-2.66286358011183E-4</v>
      </c>
      <c r="J37" s="354"/>
      <c r="K37" s="354">
        <f>(K33)/$G$27</f>
        <v>2.208972219821454E-4</v>
      </c>
      <c r="L37" s="354"/>
      <c r="M37" s="354">
        <f>(M33)/$G$27</f>
        <v>7.0560365917761295E-4</v>
      </c>
      <c r="N37" s="354"/>
      <c r="O37" s="354">
        <f>(O33)/$G$27</f>
        <v>1.1886132718011708E-3</v>
      </c>
      <c r="P37" s="354"/>
      <c r="Q37" s="354">
        <f>(Q33)/$G$27</f>
        <v>1.670687056000058E-3</v>
      </c>
      <c r="R37" s="354"/>
      <c r="S37" s="354">
        <f>(S33)/$G$27</f>
        <v>2.1525682427616863E-3</v>
      </c>
      <c r="T37" s="354"/>
      <c r="U37" s="354">
        <f>(U33)/$G$27</f>
        <v>2.6349837947111168E-3</v>
      </c>
      <c r="V37" s="354"/>
      <c r="W37" s="354">
        <f>(W33)/$G$27</f>
        <v>3.1186458463247214E-3</v>
      </c>
      <c r="X37" s="354"/>
      <c r="Y37" s="354">
        <f>(Y33)/$G$27</f>
        <v>3.604253090937148E-3</v>
      </c>
      <c r="Z37" s="355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</row>
    <row r="38" spans="3:45" s="14" customFormat="1" ht="16.5" customHeight="1" x14ac:dyDescent="0.3">
      <c r="C38" s="25"/>
      <c r="E38" s="18"/>
      <c r="F38" s="18"/>
      <c r="G38" s="16"/>
      <c r="H38" s="16"/>
      <c r="I38" s="16"/>
      <c r="J38" s="16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6"/>
      <c r="X38" s="16"/>
      <c r="Y38" s="16"/>
      <c r="Z38" s="16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</row>
    <row r="39" spans="3:45" s="14" customFormat="1" ht="16.5" customHeight="1" thickBot="1" x14ac:dyDescent="0.35">
      <c r="C39" s="25"/>
      <c r="E39" s="18"/>
      <c r="F39" s="18"/>
      <c r="G39" s="16"/>
      <c r="H39" s="16"/>
      <c r="I39" s="16"/>
      <c r="J39" s="16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6"/>
      <c r="X39" s="16"/>
      <c r="Y39" s="16"/>
      <c r="Z39" s="16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</row>
    <row r="40" spans="3:45" s="14" customFormat="1" ht="16.5" customHeight="1" thickBot="1" x14ac:dyDescent="0.4">
      <c r="C40" s="665" t="s">
        <v>134</v>
      </c>
      <c r="D40" s="666"/>
      <c r="E40" s="667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</row>
    <row r="41" spans="3:45" s="14" customFormat="1" ht="16.5" customHeight="1" x14ac:dyDescent="0.3">
      <c r="C41" s="659" t="s">
        <v>42</v>
      </c>
      <c r="D41" s="660"/>
      <c r="E41" s="660"/>
      <c r="F41" s="660"/>
      <c r="G41" s="660"/>
      <c r="H41" s="660"/>
      <c r="I41" s="660"/>
      <c r="J41" s="660"/>
      <c r="K41" s="660"/>
      <c r="L41" s="660"/>
      <c r="M41" s="660"/>
      <c r="N41" s="660"/>
      <c r="O41" s="660"/>
      <c r="P41" s="660"/>
      <c r="Q41" s="660"/>
      <c r="R41" s="660"/>
      <c r="S41" s="660"/>
      <c r="T41" s="660"/>
      <c r="U41" s="660"/>
      <c r="V41" s="660"/>
      <c r="W41" s="660"/>
      <c r="X41" s="660"/>
      <c r="Y41" s="660"/>
      <c r="Z41" s="661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</row>
    <row r="42" spans="3:45" ht="16.5" customHeight="1" x14ac:dyDescent="0.3">
      <c r="C42" s="325"/>
      <c r="D42" s="41"/>
      <c r="E42" s="41" t="s">
        <v>152</v>
      </c>
      <c r="F42" s="41"/>
      <c r="G42" s="42" t="s">
        <v>27</v>
      </c>
      <c r="H42" s="42"/>
      <c r="I42" s="42" t="s">
        <v>28</v>
      </c>
      <c r="J42" s="42"/>
      <c r="K42" s="42" t="s">
        <v>29</v>
      </c>
      <c r="L42" s="42"/>
      <c r="M42" s="42" t="s">
        <v>30</v>
      </c>
      <c r="N42" s="42"/>
      <c r="O42" s="42" t="s">
        <v>31</v>
      </c>
      <c r="P42" s="42"/>
      <c r="Q42" s="42" t="s">
        <v>32</v>
      </c>
      <c r="R42" s="42"/>
      <c r="S42" s="42" t="s">
        <v>33</v>
      </c>
      <c r="T42" s="42"/>
      <c r="U42" s="42" t="s">
        <v>34</v>
      </c>
      <c r="V42" s="42"/>
      <c r="W42" s="42" t="s">
        <v>35</v>
      </c>
      <c r="X42" s="42"/>
      <c r="Y42" s="42" t="s">
        <v>36</v>
      </c>
      <c r="Z42" s="326"/>
    </row>
    <row r="43" spans="3:45" ht="16.5" customHeight="1" x14ac:dyDescent="0.3">
      <c r="C43" s="327" t="s">
        <v>43</v>
      </c>
      <c r="D43" s="662"/>
      <c r="E43" s="663"/>
      <c r="F43" s="282"/>
      <c r="G43" s="22" t="s">
        <v>27</v>
      </c>
      <c r="H43" s="22"/>
      <c r="I43" s="22" t="s">
        <v>28</v>
      </c>
      <c r="J43" s="22"/>
      <c r="K43" s="22" t="s">
        <v>29</v>
      </c>
      <c r="L43" s="22"/>
      <c r="M43" s="22" t="s">
        <v>30</v>
      </c>
      <c r="N43" s="22"/>
      <c r="O43" s="22" t="s">
        <v>31</v>
      </c>
      <c r="P43" s="22"/>
      <c r="Q43" s="22" t="s">
        <v>32</v>
      </c>
      <c r="R43" s="22"/>
      <c r="S43" s="22" t="s">
        <v>33</v>
      </c>
      <c r="T43" s="22"/>
      <c r="U43" s="22" t="s">
        <v>34</v>
      </c>
      <c r="V43" s="22"/>
      <c r="W43" s="22" t="s">
        <v>35</v>
      </c>
      <c r="X43" s="22"/>
      <c r="Y43" s="22" t="s">
        <v>36</v>
      </c>
      <c r="Z43" s="328"/>
    </row>
    <row r="44" spans="3:45" ht="16.5" customHeight="1" x14ac:dyDescent="0.3">
      <c r="C44" s="329" t="s">
        <v>60</v>
      </c>
      <c r="D44" s="43"/>
      <c r="E44" s="44"/>
      <c r="F44" s="43"/>
      <c r="G44" s="233">
        <f>'Rent Roll'!$J26</f>
        <v>1462530</v>
      </c>
      <c r="H44" s="43"/>
      <c r="I44" s="44">
        <f>G44*1.03</f>
        <v>1506405.9000000001</v>
      </c>
      <c r="J44" s="43"/>
      <c r="K44" s="44">
        <f>I44*1.03</f>
        <v>1551598.0770000003</v>
      </c>
      <c r="L44" s="43"/>
      <c r="M44" s="44">
        <f>K44*1.03</f>
        <v>1598146.0193100004</v>
      </c>
      <c r="N44" s="43"/>
      <c r="O44" s="44">
        <f>M44*1.03</f>
        <v>1646090.3998893003</v>
      </c>
      <c r="P44" s="43"/>
      <c r="Q44" s="44">
        <f>O44*1.03</f>
        <v>1695473.1118859793</v>
      </c>
      <c r="R44" s="43"/>
      <c r="S44" s="44">
        <f>Q44*1.03</f>
        <v>1746337.3052425587</v>
      </c>
      <c r="T44" s="43"/>
      <c r="U44" s="44">
        <f>S44*1.03</f>
        <v>1798727.4243998355</v>
      </c>
      <c r="V44" s="43"/>
      <c r="W44" s="44">
        <f>U44*1.03</f>
        <v>1852689.2471318305</v>
      </c>
      <c r="X44" s="43"/>
      <c r="Y44" s="44">
        <f>W44*1.03</f>
        <v>1908269.9245457854</v>
      </c>
      <c r="Z44" s="330"/>
    </row>
    <row r="45" spans="3:45" s="20" customFormat="1" ht="16.5" customHeight="1" x14ac:dyDescent="0.3">
      <c r="C45" s="332" t="s">
        <v>212</v>
      </c>
      <c r="D45" s="23"/>
      <c r="F45" s="23"/>
      <c r="G45" s="438">
        <f>-G53*'Site Base Data'!F14/'Site Base Data'!F$22</f>
        <v>118465.64890499848</v>
      </c>
      <c r="H45" s="23"/>
      <c r="I45" s="382">
        <f>G45*1.03</f>
        <v>122019.61837214844</v>
      </c>
      <c r="J45" s="23"/>
      <c r="K45" s="382">
        <f>I45*1.03</f>
        <v>125680.2069233129</v>
      </c>
      <c r="L45" s="23"/>
      <c r="M45" s="382">
        <f>K45*1.03</f>
        <v>129450.61313101229</v>
      </c>
      <c r="N45" s="23"/>
      <c r="O45" s="382">
        <f>M45*1.03</f>
        <v>133334.13152494267</v>
      </c>
      <c r="P45" s="23"/>
      <c r="Q45" s="382">
        <f>O45*1.03</f>
        <v>137334.15547069095</v>
      </c>
      <c r="R45" s="23"/>
      <c r="S45" s="382">
        <f>Q45*1.03</f>
        <v>141454.18013481167</v>
      </c>
      <c r="T45" s="23"/>
      <c r="U45" s="382">
        <f>S45*1.03</f>
        <v>145697.80553885602</v>
      </c>
      <c r="V45" s="23"/>
      <c r="W45" s="382">
        <f>U45*1.03</f>
        <v>150068.7397050217</v>
      </c>
      <c r="X45" s="23"/>
      <c r="Y45" s="382">
        <f>W45*1.03</f>
        <v>154570.80189617234</v>
      </c>
      <c r="Z45" s="331"/>
      <c r="AB45" s="2"/>
      <c r="AC45" s="1"/>
      <c r="AD45" s="1"/>
      <c r="AE45" s="1"/>
      <c r="AF45" s="1"/>
      <c r="AG45" s="1"/>
      <c r="AH45" s="3"/>
      <c r="AI45" s="3"/>
      <c r="AJ45" s="3"/>
      <c r="AK45" s="3"/>
      <c r="AL45" s="1"/>
      <c r="AM45" s="3"/>
      <c r="AN45" s="3"/>
      <c r="AO45" s="1"/>
      <c r="AP45" s="1"/>
      <c r="AQ45" s="1"/>
      <c r="AR45" s="1"/>
      <c r="AS45" s="1"/>
    </row>
    <row r="46" spans="3:45" s="20" customFormat="1" ht="16.5" customHeight="1" x14ac:dyDescent="0.35">
      <c r="C46" s="332" t="s">
        <v>61</v>
      </c>
      <c r="D46" s="46">
        <v>0.75</v>
      </c>
      <c r="E46" s="248">
        <v>0.2</v>
      </c>
      <c r="F46" s="23"/>
      <c r="G46" s="47">
        <f>-G44*E46</f>
        <v>-292506</v>
      </c>
      <c r="H46" s="48"/>
      <c r="I46" s="44">
        <f>G46*0.95</f>
        <v>-277880.7</v>
      </c>
      <c r="J46" s="43"/>
      <c r="K46" s="44">
        <f>I46*0.95</f>
        <v>-263986.66499999998</v>
      </c>
      <c r="L46" s="43"/>
      <c r="M46" s="44">
        <f>K46*0.95</f>
        <v>-250787.33174999995</v>
      </c>
      <c r="N46" s="43"/>
      <c r="O46" s="44">
        <f>M46*0.95</f>
        <v>-238247.96516249995</v>
      </c>
      <c r="P46" s="43"/>
      <c r="Q46" s="44">
        <f>O46*0.95</f>
        <v>-226335.56690437495</v>
      </c>
      <c r="R46" s="43"/>
      <c r="S46" s="44">
        <f>Q46*0.95</f>
        <v>-215018.78855915621</v>
      </c>
      <c r="T46" s="43"/>
      <c r="U46" s="44">
        <f>S46*0.95</f>
        <v>-204267.8491311984</v>
      </c>
      <c r="V46" s="43"/>
      <c r="W46" s="44">
        <f>U46*0.95</f>
        <v>-194054.45667463847</v>
      </c>
      <c r="X46" s="43"/>
      <c r="Y46" s="44">
        <f>W46*0.95</f>
        <v>-184351.73384090653</v>
      </c>
      <c r="Z46" s="330"/>
    </row>
    <row r="47" spans="3:45" s="45" customFormat="1" ht="16.5" customHeight="1" x14ac:dyDescent="0.35">
      <c r="C47" s="333" t="s">
        <v>207</v>
      </c>
      <c r="D47" s="76"/>
      <c r="E47" s="76"/>
      <c r="F47" s="76"/>
      <c r="G47" s="76">
        <f>G44+G46+G45</f>
        <v>1288489.6489049986</v>
      </c>
      <c r="H47" s="76"/>
      <c r="I47" s="76">
        <f>I44+I46+I45</f>
        <v>1350544.8183721486</v>
      </c>
      <c r="J47" s="76"/>
      <c r="K47" s="76">
        <f>K44+K46+K45</f>
        <v>1413291.6189233132</v>
      </c>
      <c r="L47" s="76"/>
      <c r="M47" s="76">
        <f>M44+M46+M45</f>
        <v>1476809.3006910128</v>
      </c>
      <c r="N47" s="76"/>
      <c r="O47" s="76">
        <f>O44+O46+O45</f>
        <v>1541176.5662517429</v>
      </c>
      <c r="P47" s="76"/>
      <c r="Q47" s="76">
        <f>Q44+Q46+Q45</f>
        <v>1606471.7004522954</v>
      </c>
      <c r="R47" s="76"/>
      <c r="S47" s="76">
        <f>S44+S46+S45</f>
        <v>1672772.6968182141</v>
      </c>
      <c r="T47" s="76"/>
      <c r="U47" s="76">
        <f>U44+U46+U45</f>
        <v>1740157.3808074931</v>
      </c>
      <c r="V47" s="76"/>
      <c r="W47" s="76">
        <f>W44+W46+W45</f>
        <v>1808703.5301622138</v>
      </c>
      <c r="X47" s="76"/>
      <c r="Y47" s="76">
        <f>Y44+Y46+Y45</f>
        <v>1878488.9926010512</v>
      </c>
      <c r="Z47" s="334"/>
      <c r="AC47" s="51"/>
      <c r="AD47" s="51"/>
      <c r="AE47" s="51"/>
      <c r="AF47" s="51"/>
    </row>
    <row r="48" spans="3:45" ht="16.5" customHeight="1" x14ac:dyDescent="0.3">
      <c r="C48" s="335" t="s">
        <v>62</v>
      </c>
      <c r="D48" s="23"/>
      <c r="E48" s="53" t="s">
        <v>24</v>
      </c>
      <c r="F48" s="53"/>
      <c r="G48" s="52"/>
      <c r="H48" s="53"/>
      <c r="I48" s="52"/>
      <c r="J48" s="53"/>
      <c r="K48" s="52"/>
      <c r="L48" s="53"/>
      <c r="M48" s="52"/>
      <c r="N48" s="53"/>
      <c r="O48" s="52"/>
      <c r="P48" s="53"/>
      <c r="Q48" s="52"/>
      <c r="R48" s="53"/>
      <c r="S48" s="52"/>
      <c r="T48" s="53"/>
      <c r="U48" s="52"/>
      <c r="V48" s="53"/>
      <c r="W48" s="52"/>
      <c r="X48" s="53"/>
      <c r="Y48" s="52"/>
      <c r="Z48" s="336"/>
    </row>
    <row r="49" spans="3:26" ht="16.5" customHeight="1" x14ac:dyDescent="0.3">
      <c r="C49" s="337" t="s">
        <v>65</v>
      </c>
      <c r="D49" s="54"/>
      <c r="E49" s="55">
        <v>4</v>
      </c>
      <c r="F49" s="55"/>
      <c r="G49" s="227">
        <f>-E49*'Site Base Data'!F$22</f>
        <v>-394520</v>
      </c>
      <c r="H49" s="54"/>
      <c r="I49" s="44">
        <f>G49*1.03</f>
        <v>-406355.60000000003</v>
      </c>
      <c r="J49" s="43"/>
      <c r="K49" s="44">
        <f>I49*1.03</f>
        <v>-418546.26800000004</v>
      </c>
      <c r="L49" s="43"/>
      <c r="M49" s="44">
        <f>K49*1.03</f>
        <v>-431102.65604000003</v>
      </c>
      <c r="N49" s="43"/>
      <c r="O49" s="44">
        <f>M49*1.03</f>
        <v>-444035.73572120006</v>
      </c>
      <c r="P49" s="43"/>
      <c r="Q49" s="44">
        <f>O49*1.03</f>
        <v>-457356.8077928361</v>
      </c>
      <c r="R49" s="43"/>
      <c r="S49" s="44">
        <f>Q49*1.03</f>
        <v>-471077.5120266212</v>
      </c>
      <c r="T49" s="43"/>
      <c r="U49" s="44">
        <f>S49*1.03</f>
        <v>-485209.83738741983</v>
      </c>
      <c r="V49" s="43"/>
      <c r="W49" s="44">
        <f>U49*1.03</f>
        <v>-499766.13250904245</v>
      </c>
      <c r="X49" s="43"/>
      <c r="Y49" s="44">
        <f t="shared" ref="Y49:Y52" si="1">W49*1.03</f>
        <v>-514759.11648431374</v>
      </c>
      <c r="Z49" s="330"/>
    </row>
    <row r="50" spans="3:26" ht="16.5" customHeight="1" x14ac:dyDescent="0.3">
      <c r="C50" s="338" t="s">
        <v>25</v>
      </c>
      <c r="D50" s="57"/>
      <c r="E50" s="380">
        <v>0.03</v>
      </c>
      <c r="F50" s="57"/>
      <c r="G50" s="56">
        <f>-E50*G44</f>
        <v>-43875.9</v>
      </c>
      <c r="H50" s="54"/>
      <c r="I50" s="44">
        <f>G50*1.03</f>
        <v>-45192.177000000003</v>
      </c>
      <c r="J50" s="43"/>
      <c r="K50" s="44">
        <f>I50*1.03</f>
        <v>-46547.942310000006</v>
      </c>
      <c r="L50" s="43"/>
      <c r="M50" s="44">
        <f>K50*1.03</f>
        <v>-47944.380579300007</v>
      </c>
      <c r="N50" s="43"/>
      <c r="O50" s="44">
        <f>M50*1.03</f>
        <v>-49382.711996679005</v>
      </c>
      <c r="P50" s="43"/>
      <c r="Q50" s="44">
        <f>O50*1.03</f>
        <v>-50864.193356579373</v>
      </c>
      <c r="R50" s="43"/>
      <c r="S50" s="44">
        <f>Q50*1.03</f>
        <v>-52390.119157276757</v>
      </c>
      <c r="T50" s="43"/>
      <c r="U50" s="44">
        <f>S50*1.03</f>
        <v>-53961.82273199506</v>
      </c>
      <c r="V50" s="43"/>
      <c r="W50" s="44">
        <f>U50*1.03</f>
        <v>-55580.677413954916</v>
      </c>
      <c r="X50" s="43"/>
      <c r="Y50" s="44">
        <f t="shared" si="1"/>
        <v>-57248.097736373566</v>
      </c>
      <c r="Z50" s="330"/>
    </row>
    <row r="51" spans="3:26" ht="16.5" customHeight="1" x14ac:dyDescent="0.3">
      <c r="C51" s="338" t="s">
        <v>205</v>
      </c>
      <c r="D51" s="57"/>
      <c r="E51" s="381">
        <v>2</v>
      </c>
      <c r="F51" s="57"/>
      <c r="G51" s="227">
        <f>-E51*'Site Base Data'!F$14</f>
        <v>-27170</v>
      </c>
      <c r="H51" s="54"/>
      <c r="I51" s="44">
        <f>G51*1.03</f>
        <v>-27985.100000000002</v>
      </c>
      <c r="J51" s="43"/>
      <c r="K51" s="44">
        <f>I51*1.03</f>
        <v>-28824.653000000002</v>
      </c>
      <c r="L51" s="43"/>
      <c r="M51" s="44">
        <f>K51*1.03</f>
        <v>-29689.392590000003</v>
      </c>
      <c r="N51" s="43"/>
      <c r="O51" s="44">
        <f>M51*1.03</f>
        <v>-30580.074367700003</v>
      </c>
      <c r="P51" s="43"/>
      <c r="Q51" s="44">
        <f>O51*1.03</f>
        <v>-31497.476598731002</v>
      </c>
      <c r="R51" s="43"/>
      <c r="S51" s="44">
        <f>Q51*1.03</f>
        <v>-32442.400896692932</v>
      </c>
      <c r="T51" s="43"/>
      <c r="U51" s="44">
        <f>S51*1.03</f>
        <v>-33415.672923593724</v>
      </c>
      <c r="V51" s="43"/>
      <c r="W51" s="44">
        <f>U51*1.03</f>
        <v>-34418.143111301535</v>
      </c>
      <c r="X51" s="43"/>
      <c r="Y51" s="44">
        <f t="shared" si="1"/>
        <v>-35450.687404640579</v>
      </c>
      <c r="Z51" s="330"/>
    </row>
    <row r="52" spans="3:26" ht="16.5" customHeight="1" x14ac:dyDescent="0.3">
      <c r="C52" s="338" t="s">
        <v>63</v>
      </c>
      <c r="D52" s="59"/>
      <c r="E52" s="55">
        <v>4</v>
      </c>
      <c r="F52" s="55"/>
      <c r="G52" s="227">
        <f>-E52*'Site Base Data'!F$22</f>
        <v>-394520</v>
      </c>
      <c r="H52" s="54"/>
      <c r="I52" s="44">
        <f>G52*1.03</f>
        <v>-406355.60000000003</v>
      </c>
      <c r="J52" s="43"/>
      <c r="K52" s="44">
        <f>I52*1.03</f>
        <v>-418546.26800000004</v>
      </c>
      <c r="L52" s="43"/>
      <c r="M52" s="44">
        <f>K52*1.03</f>
        <v>-431102.65604000003</v>
      </c>
      <c r="N52" s="43"/>
      <c r="O52" s="44">
        <f>M52*1.03</f>
        <v>-444035.73572120006</v>
      </c>
      <c r="P52" s="43"/>
      <c r="Q52" s="44">
        <f>O52*1.03</f>
        <v>-457356.8077928361</v>
      </c>
      <c r="R52" s="43"/>
      <c r="S52" s="44">
        <f>Q52*1.03</f>
        <v>-471077.5120266212</v>
      </c>
      <c r="T52" s="43"/>
      <c r="U52" s="44">
        <f>S52*1.03</f>
        <v>-485209.83738741983</v>
      </c>
      <c r="V52" s="43"/>
      <c r="W52" s="44">
        <f>U52*1.03</f>
        <v>-499766.13250904245</v>
      </c>
      <c r="X52" s="43"/>
      <c r="Y52" s="44">
        <f t="shared" si="1"/>
        <v>-514759.11648431374</v>
      </c>
      <c r="Z52" s="330"/>
    </row>
    <row r="53" spans="3:26" ht="16.5" customHeight="1" x14ac:dyDescent="0.3">
      <c r="C53" s="333" t="s">
        <v>26</v>
      </c>
      <c r="D53" s="77"/>
      <c r="E53" s="78"/>
      <c r="F53" s="79"/>
      <c r="G53" s="76">
        <f>SUM(G49:G52)</f>
        <v>-860085.9</v>
      </c>
      <c r="H53" s="79"/>
      <c r="I53" s="76">
        <f>SUM(I49:I52)</f>
        <v>-885888.47700000007</v>
      </c>
      <c r="J53" s="79"/>
      <c r="K53" s="76">
        <f>SUM(K49:K52)</f>
        <v>-912465.13131000008</v>
      </c>
      <c r="L53" s="79"/>
      <c r="M53" s="76">
        <f>SUM(M49:M52)</f>
        <v>-939839.08524930011</v>
      </c>
      <c r="N53" s="79"/>
      <c r="O53" s="76">
        <f>SUM(O49:O52)</f>
        <v>-968034.25780677912</v>
      </c>
      <c r="P53" s="79"/>
      <c r="Q53" s="76">
        <f>SUM(Q49:Q52)</f>
        <v>-997075.28554098262</v>
      </c>
      <c r="R53" s="79"/>
      <c r="S53" s="76">
        <f>SUM(S49:S52)</f>
        <v>-1026987.544107212</v>
      </c>
      <c r="T53" s="79"/>
      <c r="U53" s="76">
        <f>SUM(U49:U52)</f>
        <v>-1057797.1704304283</v>
      </c>
      <c r="V53" s="79"/>
      <c r="W53" s="76">
        <f>SUM(W49:W52)</f>
        <v>-1089531.0855433415</v>
      </c>
      <c r="X53" s="79"/>
      <c r="Y53" s="76">
        <f>SUM(Y49:Y52)</f>
        <v>-1122217.0181096415</v>
      </c>
      <c r="Z53" s="339"/>
    </row>
    <row r="54" spans="3:26" ht="16.5" customHeight="1" x14ac:dyDescent="0.3">
      <c r="C54" s="340"/>
      <c r="D54" s="61"/>
      <c r="E54" s="44"/>
      <c r="F54" s="43"/>
      <c r="G54" s="44"/>
      <c r="H54" s="43"/>
      <c r="I54" s="44"/>
      <c r="J54" s="43"/>
      <c r="K54" s="44"/>
      <c r="L54" s="43"/>
      <c r="M54" s="44"/>
      <c r="N54" s="43"/>
      <c r="O54" s="44"/>
      <c r="P54" s="43"/>
      <c r="Q54" s="44"/>
      <c r="R54" s="43"/>
      <c r="S54" s="44"/>
      <c r="T54" s="43"/>
      <c r="U54" s="44"/>
      <c r="V54" s="43"/>
      <c r="W54" s="44"/>
      <c r="X54" s="43"/>
      <c r="Y54" s="44"/>
      <c r="Z54" s="330"/>
    </row>
    <row r="55" spans="3:26" ht="16.5" customHeight="1" x14ac:dyDescent="0.3">
      <c r="C55" s="333" t="s">
        <v>64</v>
      </c>
      <c r="D55" s="76"/>
      <c r="E55" s="76"/>
      <c r="F55" s="76"/>
      <c r="G55" s="76">
        <f>G47+G53</f>
        <v>428403.74890499853</v>
      </c>
      <c r="H55" s="76"/>
      <c r="I55" s="76">
        <f>I47+I53</f>
        <v>464656.34137214848</v>
      </c>
      <c r="J55" s="76"/>
      <c r="K55" s="76">
        <f>K47+K53</f>
        <v>500826.48761331313</v>
      </c>
      <c r="L55" s="76"/>
      <c r="M55" s="76">
        <f>M47+M53</f>
        <v>536970.21544171264</v>
      </c>
      <c r="N55" s="76"/>
      <c r="O55" s="76">
        <f>O47+O53</f>
        <v>573142.30844496377</v>
      </c>
      <c r="P55" s="76"/>
      <c r="Q55" s="76">
        <f>Q47+Q53</f>
        <v>609396.41491131275</v>
      </c>
      <c r="R55" s="76"/>
      <c r="S55" s="76">
        <f>S47+S53</f>
        <v>645785.15271100216</v>
      </c>
      <c r="T55" s="76"/>
      <c r="U55" s="76">
        <f>U47+U53</f>
        <v>682360.21037706477</v>
      </c>
      <c r="V55" s="76"/>
      <c r="W55" s="76">
        <f>W47+W53</f>
        <v>719172.44461887237</v>
      </c>
      <c r="X55" s="76"/>
      <c r="Y55" s="76">
        <f>Y47+Y53</f>
        <v>756271.97449140972</v>
      </c>
      <c r="Z55" s="334"/>
    </row>
    <row r="56" spans="3:26" ht="16.5" customHeight="1" x14ac:dyDescent="0.3">
      <c r="C56" s="34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342"/>
    </row>
    <row r="57" spans="3:26" ht="16.5" customHeight="1" x14ac:dyDescent="0.3">
      <c r="C57" s="329" t="s">
        <v>151</v>
      </c>
      <c r="D57" s="23"/>
      <c r="E57" s="20"/>
      <c r="F57" s="23"/>
      <c r="G57" s="112" t="s">
        <v>39</v>
      </c>
      <c r="H57" s="23"/>
      <c r="I57" s="20"/>
      <c r="J57" s="23"/>
      <c r="K57" s="20"/>
      <c r="L57" s="23"/>
      <c r="M57" s="20"/>
      <c r="N57" s="23"/>
      <c r="O57" s="20"/>
      <c r="P57" s="23"/>
      <c r="Q57" s="20"/>
      <c r="R57" s="23"/>
      <c r="S57" s="20"/>
      <c r="T57" s="23"/>
      <c r="U57" s="20"/>
      <c r="V57" s="23"/>
      <c r="W57" s="20"/>
      <c r="X57" s="23"/>
      <c r="Y57" s="20"/>
      <c r="Z57" s="331"/>
    </row>
    <row r="58" spans="3:26" ht="16.5" customHeight="1" x14ac:dyDescent="0.3">
      <c r="C58" s="343" t="s">
        <v>97</v>
      </c>
      <c r="D58" s="23"/>
      <c r="E58" s="43"/>
      <c r="F58" s="23"/>
      <c r="G58" s="106">
        <f>'Sources Uses'!Y$47</f>
        <v>58579400</v>
      </c>
      <c r="H58" s="23"/>
      <c r="I58" s="20"/>
      <c r="J58" s="23"/>
      <c r="K58" s="20"/>
      <c r="L58" s="23"/>
      <c r="M58" s="20"/>
      <c r="N58" s="23"/>
      <c r="O58" s="20"/>
      <c r="P58" s="23"/>
      <c r="Q58" s="20"/>
      <c r="R58" s="23"/>
      <c r="S58" s="20"/>
      <c r="T58" s="23"/>
      <c r="U58" s="20"/>
      <c r="V58" s="23"/>
      <c r="W58" s="20"/>
      <c r="X58" s="23"/>
      <c r="Y58" s="20"/>
      <c r="Z58" s="331"/>
    </row>
    <row r="59" spans="3:26" ht="16.5" customHeight="1" x14ac:dyDescent="0.3">
      <c r="C59" s="332" t="s">
        <v>180</v>
      </c>
      <c r="D59" s="23"/>
      <c r="E59" s="385">
        <v>0.15</v>
      </c>
      <c r="F59" s="43"/>
      <c r="G59" s="43">
        <f>$G$58*E59</f>
        <v>8786910</v>
      </c>
      <c r="H59" s="43"/>
      <c r="I59" s="20"/>
      <c r="J59" s="23"/>
      <c r="K59" s="20"/>
      <c r="L59" s="23"/>
      <c r="M59" s="20"/>
      <c r="N59" s="23"/>
      <c r="O59" s="20"/>
      <c r="P59" s="23"/>
      <c r="Q59" s="20"/>
      <c r="R59" s="23"/>
      <c r="S59" s="20"/>
      <c r="T59" s="23"/>
      <c r="U59" s="20"/>
      <c r="V59" s="23"/>
      <c r="W59" s="20"/>
      <c r="X59" s="23"/>
      <c r="Y59" s="20"/>
      <c r="Z59" s="331"/>
    </row>
    <row r="60" spans="3:26" ht="16.5" customHeight="1" x14ac:dyDescent="0.3">
      <c r="C60" s="332" t="s">
        <v>181</v>
      </c>
      <c r="D60" s="23"/>
      <c r="E60" s="385">
        <v>0.12</v>
      </c>
      <c r="F60" s="43"/>
      <c r="G60" s="43">
        <f>$G$58*E60</f>
        <v>7029528</v>
      </c>
      <c r="H60" s="43"/>
      <c r="I60" s="20"/>
      <c r="J60" s="23"/>
      <c r="K60" s="20"/>
      <c r="L60" s="23"/>
      <c r="M60" s="20"/>
      <c r="N60" s="23"/>
      <c r="O60" s="20"/>
      <c r="P60" s="23"/>
      <c r="Q60" s="20"/>
      <c r="R60" s="23"/>
      <c r="S60" s="20"/>
      <c r="T60" s="23"/>
      <c r="U60" s="20"/>
      <c r="V60" s="23"/>
      <c r="W60" s="20"/>
      <c r="X60" s="23"/>
      <c r="Y60" s="20"/>
      <c r="Z60" s="331"/>
    </row>
    <row r="61" spans="3:26" ht="16.5" customHeight="1" x14ac:dyDescent="0.3">
      <c r="C61" s="332" t="s">
        <v>182</v>
      </c>
      <c r="D61" s="23"/>
      <c r="E61" s="385">
        <f>SUM(1-E59-E60)</f>
        <v>0.73</v>
      </c>
      <c r="F61" s="43"/>
      <c r="G61" s="43">
        <f>$G$58*E61</f>
        <v>42762962</v>
      </c>
      <c r="H61" s="43"/>
      <c r="I61" s="20"/>
      <c r="J61" s="23"/>
      <c r="K61" s="20"/>
      <c r="L61" s="23"/>
      <c r="M61" s="20"/>
      <c r="N61" s="23"/>
      <c r="O61" s="20"/>
      <c r="P61" s="23"/>
      <c r="Q61" s="20"/>
      <c r="R61" s="23"/>
      <c r="S61" s="20"/>
      <c r="T61" s="23"/>
      <c r="U61" s="20"/>
      <c r="V61" s="23"/>
      <c r="W61" s="20"/>
      <c r="X61" s="23"/>
      <c r="Y61" s="20"/>
      <c r="Z61" s="331"/>
    </row>
    <row r="62" spans="3:26" ht="16.5" customHeight="1" x14ac:dyDescent="0.3">
      <c r="C62" s="338"/>
      <c r="D62" s="23"/>
      <c r="E62" s="20"/>
      <c r="F62" s="23"/>
      <c r="G62" s="20"/>
      <c r="H62" s="23"/>
      <c r="I62" s="20"/>
      <c r="J62" s="23"/>
      <c r="K62" s="20"/>
      <c r="L62" s="23"/>
      <c r="M62" s="20"/>
      <c r="N62" s="23"/>
      <c r="O62" s="20"/>
      <c r="P62" s="23"/>
      <c r="Q62" s="20"/>
      <c r="R62" s="23"/>
      <c r="S62" s="20"/>
      <c r="T62" s="23"/>
      <c r="U62" s="20"/>
      <c r="V62" s="23"/>
      <c r="W62" s="20"/>
      <c r="X62" s="23"/>
      <c r="Y62" s="20"/>
      <c r="Z62" s="331"/>
    </row>
    <row r="63" spans="3:26" ht="16.5" customHeight="1" x14ac:dyDescent="0.3">
      <c r="C63" s="335" t="s">
        <v>92</v>
      </c>
      <c r="D63" s="23"/>
      <c r="E63" s="20"/>
      <c r="F63" s="23"/>
      <c r="G63" s="107">
        <f>Financing!$I$19</f>
        <v>479000</v>
      </c>
      <c r="H63" s="23"/>
      <c r="I63" s="91">
        <f>Financing!$I$19</f>
        <v>479000</v>
      </c>
      <c r="J63" s="23"/>
      <c r="K63" s="91">
        <f>Financing!$I$19</f>
        <v>479000</v>
      </c>
      <c r="L63" s="23"/>
      <c r="M63" s="91">
        <f>Financing!$I$19</f>
        <v>479000</v>
      </c>
      <c r="N63" s="23"/>
      <c r="O63" s="91">
        <f>Financing!$I$19</f>
        <v>479000</v>
      </c>
      <c r="P63" s="23"/>
      <c r="Q63" s="91">
        <f>Financing!$I$19</f>
        <v>479000</v>
      </c>
      <c r="R63" s="23"/>
      <c r="S63" s="91">
        <f>Financing!$I$19</f>
        <v>479000</v>
      </c>
      <c r="T63" s="23"/>
      <c r="U63" s="91">
        <f>Financing!$I$19</f>
        <v>479000</v>
      </c>
      <c r="V63" s="91"/>
      <c r="W63" s="91">
        <f>Financing!$I$19</f>
        <v>479000</v>
      </c>
      <c r="X63" s="23"/>
      <c r="Y63" s="91">
        <f>Financing!$I$19</f>
        <v>479000</v>
      </c>
      <c r="Z63" s="331"/>
    </row>
    <row r="64" spans="3:26" ht="16.5" customHeight="1" thickBot="1" x14ac:dyDescent="0.35">
      <c r="C64" s="327" t="s">
        <v>59</v>
      </c>
      <c r="D64" s="80"/>
      <c r="E64" s="80"/>
      <c r="F64" s="81"/>
      <c r="G64" s="82">
        <f>G55-G63</f>
        <v>-50596.251095001469</v>
      </c>
      <c r="H64" s="82"/>
      <c r="I64" s="83">
        <f>I55-I63</f>
        <v>-14343.658627851517</v>
      </c>
      <c r="J64" s="83"/>
      <c r="K64" s="83">
        <f>K55-K63</f>
        <v>21826.487613313133</v>
      </c>
      <c r="L64" s="83"/>
      <c r="M64" s="83">
        <f>M55-M63</f>
        <v>57970.215441712644</v>
      </c>
      <c r="N64" s="83"/>
      <c r="O64" s="83">
        <f>O55-O63</f>
        <v>94142.308444963768</v>
      </c>
      <c r="P64" s="83"/>
      <c r="Q64" s="83">
        <f>Q55-Q63</f>
        <v>130396.41491131275</v>
      </c>
      <c r="R64" s="83"/>
      <c r="S64" s="83">
        <f>S55-S63</f>
        <v>166785.15271100216</v>
      </c>
      <c r="T64" s="83"/>
      <c r="U64" s="83">
        <f>U55-U63</f>
        <v>203360.21037706477</v>
      </c>
      <c r="V64" s="83"/>
      <c r="W64" s="83">
        <f>W55-W63</f>
        <v>240172.44461887237</v>
      </c>
      <c r="X64" s="83"/>
      <c r="Y64" s="83">
        <f>Y55-Y63</f>
        <v>277271.97449140972</v>
      </c>
      <c r="Z64" s="344"/>
    </row>
    <row r="65" spans="3:45" ht="16.5" customHeight="1" thickBot="1" x14ac:dyDescent="0.35">
      <c r="C65" s="345" t="s">
        <v>94</v>
      </c>
      <c r="D65" s="23"/>
      <c r="E65" s="23"/>
      <c r="F65" s="23"/>
      <c r="G65" s="66">
        <f>SUM(G55/G63)</f>
        <v>0.89437108330897397</v>
      </c>
      <c r="H65" s="66"/>
      <c r="I65" s="66">
        <f>SUM(I55/I63)</f>
        <v>0.9700549924261973</v>
      </c>
      <c r="J65" s="66"/>
      <c r="K65" s="388">
        <f>SUM(K55/K63)</f>
        <v>1.04556677998604</v>
      </c>
      <c r="L65" s="66"/>
      <c r="M65" s="66">
        <f>SUM(M55/M63)</f>
        <v>1.1210234142833249</v>
      </c>
      <c r="N65" s="66"/>
      <c r="O65" s="66">
        <f>SUM(O55/O63)</f>
        <v>1.1965392660646426</v>
      </c>
      <c r="P65" s="66">
        <v>1</v>
      </c>
      <c r="Q65" s="66">
        <f>SUM(Q55/Q63)</f>
        <v>1.2722263359317594</v>
      </c>
      <c r="R65" s="66"/>
      <c r="S65" s="66">
        <f>SUM(S55/S63)</f>
        <v>1.3481944733006308</v>
      </c>
      <c r="T65" s="66"/>
      <c r="U65" s="66">
        <f>SUM(U55/U63)</f>
        <v>1.4245515874260224</v>
      </c>
      <c r="V65" s="66"/>
      <c r="W65" s="66">
        <f>SUM(W55/W63)</f>
        <v>1.5014038509788568</v>
      </c>
      <c r="X65" s="66"/>
      <c r="Y65" s="66">
        <f>SUM(Y55/Y63)</f>
        <v>1.5788558966417741</v>
      </c>
      <c r="Z65" s="346"/>
    </row>
    <row r="66" spans="3:45" ht="16.5" customHeight="1" x14ac:dyDescent="0.3">
      <c r="C66" s="327" t="s">
        <v>37</v>
      </c>
      <c r="D66" s="84"/>
      <c r="E66" s="85"/>
      <c r="F66" s="86"/>
      <c r="G66" s="87">
        <f>(G64)/$G$28</f>
        <v>-6.6220848358467012E-3</v>
      </c>
      <c r="H66" s="87"/>
      <c r="I66" s="87">
        <f>(I64)/$G$28</f>
        <v>-1.8773115049909505E-3</v>
      </c>
      <c r="J66" s="87"/>
      <c r="K66" s="87">
        <f>(K64)/$G$28</f>
        <v>2.8566711864191044E-3</v>
      </c>
      <c r="L66" s="87"/>
      <c r="M66" s="87">
        <f>(M64)/$G$28</f>
        <v>7.587196211168626E-3</v>
      </c>
      <c r="N66" s="87"/>
      <c r="O66" s="87">
        <f>(O64)/$G$28</f>
        <v>1.2321433696627901E-2</v>
      </c>
      <c r="P66" s="87"/>
      <c r="Q66" s="87">
        <f>(Q64)/$G$28</f>
        <v>1.7066405181119945E-2</v>
      </c>
      <c r="R66" s="87"/>
      <c r="S66" s="87">
        <f>(S64)/$G$28</f>
        <v>2.1828997340892251E-2</v>
      </c>
      <c r="T66" s="87"/>
      <c r="U66" s="87">
        <f>(U64)/$G$28</f>
        <v>2.6615975219665956E-2</v>
      </c>
      <c r="V66" s="87"/>
      <c r="W66" s="87">
        <f>(W64)/$G$28</f>
        <v>3.1433994991300652E-2</v>
      </c>
      <c r="X66" s="87"/>
      <c r="Y66" s="87">
        <f>(Y64)/$G$28</f>
        <v>3.628961628475736E-2</v>
      </c>
      <c r="Z66" s="347"/>
    </row>
    <row r="67" spans="3:45" ht="16.5" customHeight="1" x14ac:dyDescent="0.3">
      <c r="C67" s="348"/>
      <c r="E67" s="17"/>
      <c r="F67" s="17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349"/>
    </row>
    <row r="68" spans="3:45" ht="16.5" customHeight="1" thickBot="1" x14ac:dyDescent="0.35">
      <c r="C68" s="350" t="s">
        <v>96</v>
      </c>
      <c r="D68" s="351"/>
      <c r="E68" s="352"/>
      <c r="F68" s="353"/>
      <c r="G68" s="354">
        <f>(G64)/$G$27</f>
        <v>-7.946501803016042E-4</v>
      </c>
      <c r="H68" s="354"/>
      <c r="I68" s="354">
        <f>(I64)/$G$27</f>
        <v>-2.2527738059891406E-4</v>
      </c>
      <c r="J68" s="354"/>
      <c r="K68" s="354">
        <f>(K64)/$G$27</f>
        <v>3.4280054237029254E-4</v>
      </c>
      <c r="L68" s="354"/>
      <c r="M68" s="354">
        <f>(M64)/$G$27</f>
        <v>9.1046354534023513E-4</v>
      </c>
      <c r="N68" s="354"/>
      <c r="O68" s="354">
        <f>(O64)/$G$27</f>
        <v>1.4785720435953481E-3</v>
      </c>
      <c r="P68" s="354"/>
      <c r="Q68" s="354">
        <f>(Q64)/$G$27</f>
        <v>2.0479686217343934E-3</v>
      </c>
      <c r="R68" s="354"/>
      <c r="S68" s="354">
        <f>(S64)/$G$27</f>
        <v>2.6194796809070704E-3</v>
      </c>
      <c r="T68" s="354"/>
      <c r="U68" s="354">
        <f>(U64)/$G$27</f>
        <v>3.1939170263599148E-3</v>
      </c>
      <c r="V68" s="354"/>
      <c r="W68" s="354">
        <f>(W64)/$G$27</f>
        <v>3.7720793989560785E-3</v>
      </c>
      <c r="X68" s="354"/>
      <c r="Y68" s="354">
        <f>(Y64)/$G$27</f>
        <v>4.3547539541708832E-3</v>
      </c>
      <c r="Z68" s="355"/>
    </row>
    <row r="69" spans="3:45" s="14" customFormat="1" ht="16.5" customHeight="1" x14ac:dyDescent="0.3">
      <c r="C69" s="173"/>
      <c r="D69" s="23"/>
      <c r="E69" s="43"/>
      <c r="F69" s="174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</row>
    <row r="70" spans="3:45" ht="16.5" customHeight="1" thickBot="1" x14ac:dyDescent="0.35"/>
    <row r="71" spans="3:45" ht="16.5" customHeight="1" thickBot="1" x14ac:dyDescent="0.4">
      <c r="C71" s="665" t="s">
        <v>135</v>
      </c>
      <c r="D71" s="666"/>
      <c r="E71" s="667"/>
      <c r="G71" s="14"/>
      <c r="I71" s="14"/>
      <c r="K71" s="14"/>
      <c r="M71" s="14"/>
      <c r="O71" s="14"/>
      <c r="Q71" s="14"/>
      <c r="S71" s="14"/>
      <c r="U71" s="14"/>
      <c r="W71" s="14"/>
      <c r="Y71" s="14"/>
    </row>
    <row r="72" spans="3:45" ht="16.5" customHeight="1" x14ac:dyDescent="0.3">
      <c r="C72" s="659" t="s">
        <v>42</v>
      </c>
      <c r="D72" s="660"/>
      <c r="E72" s="660"/>
      <c r="F72" s="660"/>
      <c r="G72" s="660"/>
      <c r="H72" s="660"/>
      <c r="I72" s="660"/>
      <c r="J72" s="660"/>
      <c r="K72" s="660"/>
      <c r="L72" s="660"/>
      <c r="M72" s="660"/>
      <c r="N72" s="660"/>
      <c r="O72" s="660"/>
      <c r="P72" s="660"/>
      <c r="Q72" s="660"/>
      <c r="R72" s="660"/>
      <c r="S72" s="660"/>
      <c r="T72" s="660"/>
      <c r="U72" s="660"/>
      <c r="V72" s="660"/>
      <c r="W72" s="660"/>
      <c r="X72" s="660"/>
      <c r="Y72" s="660"/>
      <c r="Z72" s="661"/>
    </row>
    <row r="73" spans="3:45" ht="16.5" customHeight="1" x14ac:dyDescent="0.3">
      <c r="C73" s="325"/>
      <c r="D73" s="41"/>
      <c r="E73" s="41" t="s">
        <v>152</v>
      </c>
      <c r="F73" s="41"/>
      <c r="G73" s="42" t="s">
        <v>27</v>
      </c>
      <c r="H73" s="42"/>
      <c r="I73" s="42" t="s">
        <v>28</v>
      </c>
      <c r="J73" s="42"/>
      <c r="K73" s="42" t="s">
        <v>29</v>
      </c>
      <c r="L73" s="42"/>
      <c r="M73" s="42" t="s">
        <v>30</v>
      </c>
      <c r="N73" s="42"/>
      <c r="O73" s="42" t="s">
        <v>31</v>
      </c>
      <c r="P73" s="42"/>
      <c r="Q73" s="42" t="s">
        <v>32</v>
      </c>
      <c r="R73" s="42"/>
      <c r="S73" s="42" t="s">
        <v>33</v>
      </c>
      <c r="T73" s="42"/>
      <c r="U73" s="42" t="s">
        <v>34</v>
      </c>
      <c r="V73" s="42"/>
      <c r="W73" s="42" t="s">
        <v>35</v>
      </c>
      <c r="X73" s="42"/>
      <c r="Y73" s="42" t="s">
        <v>36</v>
      </c>
      <c r="Z73" s="326"/>
    </row>
    <row r="74" spans="3:45" ht="16.5" customHeight="1" x14ac:dyDescent="0.3">
      <c r="C74" s="327" t="s">
        <v>43</v>
      </c>
      <c r="D74" s="662"/>
      <c r="E74" s="663"/>
      <c r="F74" s="282"/>
      <c r="G74" s="22" t="s">
        <v>27</v>
      </c>
      <c r="H74" s="22"/>
      <c r="I74" s="22" t="s">
        <v>28</v>
      </c>
      <c r="J74" s="22"/>
      <c r="K74" s="22" t="s">
        <v>29</v>
      </c>
      <c r="L74" s="22"/>
      <c r="M74" s="22" t="s">
        <v>30</v>
      </c>
      <c r="N74" s="22"/>
      <c r="O74" s="22" t="s">
        <v>31</v>
      </c>
      <c r="P74" s="22"/>
      <c r="Q74" s="22" t="s">
        <v>32</v>
      </c>
      <c r="R74" s="22"/>
      <c r="S74" s="22" t="s">
        <v>33</v>
      </c>
      <c r="T74" s="22"/>
      <c r="U74" s="22" t="s">
        <v>34</v>
      </c>
      <c r="V74" s="22"/>
      <c r="W74" s="22" t="s">
        <v>35</v>
      </c>
      <c r="X74" s="22"/>
      <c r="Y74" s="22" t="s">
        <v>36</v>
      </c>
      <c r="Z74" s="328"/>
    </row>
    <row r="75" spans="3:45" ht="16.5" customHeight="1" x14ac:dyDescent="0.3">
      <c r="C75" s="329" t="s">
        <v>60</v>
      </c>
      <c r="D75" s="43"/>
      <c r="E75" s="44"/>
      <c r="F75" s="43"/>
      <c r="G75" s="233">
        <f>'Rent Roll'!$J35</f>
        <v>360000</v>
      </c>
      <c r="H75" s="43"/>
      <c r="I75" s="44">
        <f>G75*1.03</f>
        <v>370800</v>
      </c>
      <c r="J75" s="43"/>
      <c r="K75" s="44">
        <f>I75*1.03</f>
        <v>381924</v>
      </c>
      <c r="L75" s="43"/>
      <c r="M75" s="44">
        <f>K75*1.03</f>
        <v>393381.72000000003</v>
      </c>
      <c r="N75" s="43"/>
      <c r="O75" s="44">
        <f>M75*1.03</f>
        <v>405183.17160000006</v>
      </c>
      <c r="P75" s="43"/>
      <c r="Q75" s="44">
        <f>O75*1.03</f>
        <v>417338.66674800008</v>
      </c>
      <c r="R75" s="43"/>
      <c r="S75" s="44">
        <f>Q75*1.03</f>
        <v>429858.82675044012</v>
      </c>
      <c r="T75" s="43"/>
      <c r="U75" s="44">
        <f>S75*1.03</f>
        <v>442754.59155295335</v>
      </c>
      <c r="V75" s="43"/>
      <c r="W75" s="44">
        <f>U75*1.03</f>
        <v>456037.22929954197</v>
      </c>
      <c r="X75" s="43"/>
      <c r="Y75" s="44">
        <f>W75*1.03</f>
        <v>469718.34617852821</v>
      </c>
      <c r="Z75" s="330"/>
    </row>
    <row r="76" spans="3:45" s="20" customFormat="1" ht="16.5" customHeight="1" x14ac:dyDescent="0.3">
      <c r="C76" s="332" t="s">
        <v>212</v>
      </c>
      <c r="D76" s="23"/>
      <c r="F76" s="23"/>
      <c r="G76" s="438">
        <f>-G84*0.75</f>
        <v>233831.25</v>
      </c>
      <c r="H76" s="23"/>
      <c r="I76" s="382">
        <f>G76*1.03</f>
        <v>240846.1875</v>
      </c>
      <c r="J76" s="23"/>
      <c r="K76" s="382">
        <f>I76*1.03</f>
        <v>248071.573125</v>
      </c>
      <c r="L76" s="23"/>
      <c r="M76" s="382">
        <f>K76*1.03</f>
        <v>255513.72031875001</v>
      </c>
      <c r="N76" s="23"/>
      <c r="O76" s="382">
        <f>M76*1.03</f>
        <v>263179.13192831253</v>
      </c>
      <c r="P76" s="23"/>
      <c r="Q76" s="382">
        <f>O76*1.03</f>
        <v>271074.50588616193</v>
      </c>
      <c r="R76" s="23"/>
      <c r="S76" s="382">
        <f>Q76*1.03</f>
        <v>279206.74106274679</v>
      </c>
      <c r="T76" s="23"/>
      <c r="U76" s="382">
        <f>S76*1.03</f>
        <v>287582.94329462922</v>
      </c>
      <c r="V76" s="23"/>
      <c r="W76" s="382">
        <f>U76*1.03</f>
        <v>296210.43159346812</v>
      </c>
      <c r="X76" s="23"/>
      <c r="Y76" s="382">
        <f>W76*1.03</f>
        <v>305096.74454127217</v>
      </c>
      <c r="Z76" s="331"/>
      <c r="AB76" s="2"/>
      <c r="AC76" s="1"/>
      <c r="AD76" s="1"/>
      <c r="AE76" s="1"/>
      <c r="AF76" s="1"/>
      <c r="AG76" s="1"/>
      <c r="AH76" s="3"/>
      <c r="AI76" s="3"/>
      <c r="AJ76" s="3"/>
      <c r="AK76" s="3"/>
      <c r="AL76" s="1"/>
      <c r="AM76" s="3"/>
      <c r="AN76" s="3"/>
      <c r="AO76" s="1"/>
      <c r="AP76" s="1"/>
      <c r="AQ76" s="1"/>
      <c r="AR76" s="1"/>
      <c r="AS76" s="1"/>
    </row>
    <row r="77" spans="3:45" s="20" customFormat="1" ht="16.5" customHeight="1" x14ac:dyDescent="0.35">
      <c r="C77" s="332" t="s">
        <v>61</v>
      </c>
      <c r="D77" s="46">
        <v>0.75</v>
      </c>
      <c r="E77" s="248">
        <v>0.2</v>
      </c>
      <c r="F77" s="23"/>
      <c r="G77" s="47">
        <f>G75*-$E77</f>
        <v>-72000</v>
      </c>
      <c r="H77" s="48"/>
      <c r="I77" s="44">
        <f>G77*0.95</f>
        <v>-68400</v>
      </c>
      <c r="J77" s="43"/>
      <c r="K77" s="44">
        <f>I77*0.95</f>
        <v>-64980</v>
      </c>
      <c r="L77" s="43"/>
      <c r="M77" s="44">
        <f>K77*0.95</f>
        <v>-61731</v>
      </c>
      <c r="N77" s="43"/>
      <c r="O77" s="44">
        <f>M77*0.95</f>
        <v>-58644.45</v>
      </c>
      <c r="P77" s="43"/>
      <c r="Q77" s="44">
        <f>O77*0.95</f>
        <v>-55712.227499999994</v>
      </c>
      <c r="R77" s="43"/>
      <c r="S77" s="44">
        <f>Q77*0.95</f>
        <v>-52926.616124999993</v>
      </c>
      <c r="T77" s="43"/>
      <c r="U77" s="44">
        <f>S77*0.95</f>
        <v>-50280.285318749993</v>
      </c>
      <c r="V77" s="43"/>
      <c r="W77" s="44">
        <f>U77*0.95</f>
        <v>-47766.271052812488</v>
      </c>
      <c r="X77" s="43"/>
      <c r="Y77" s="44">
        <f>W77*0.95</f>
        <v>-45377.957500171862</v>
      </c>
      <c r="Z77" s="330"/>
    </row>
    <row r="78" spans="3:45" s="45" customFormat="1" ht="16.5" customHeight="1" x14ac:dyDescent="0.35">
      <c r="C78" s="333" t="s">
        <v>207</v>
      </c>
      <c r="D78" s="76"/>
      <c r="E78" s="76"/>
      <c r="F78" s="76"/>
      <c r="G78" s="76">
        <f>G75+G77+G76</f>
        <v>521831.25</v>
      </c>
      <c r="H78" s="76"/>
      <c r="I78" s="76">
        <f>I75+I77+I76</f>
        <v>543246.1875</v>
      </c>
      <c r="J78" s="76"/>
      <c r="K78" s="76">
        <f>K75+K77+K76</f>
        <v>565015.573125</v>
      </c>
      <c r="L78" s="76"/>
      <c r="M78" s="76">
        <f>M75+M77+M76</f>
        <v>587164.44031874998</v>
      </c>
      <c r="N78" s="76"/>
      <c r="O78" s="76">
        <f>O75+O77+O76</f>
        <v>609717.85352831264</v>
      </c>
      <c r="P78" s="76"/>
      <c r="Q78" s="76">
        <f>Q75+Q77+Q76</f>
        <v>632700.94513416197</v>
      </c>
      <c r="R78" s="76"/>
      <c r="S78" s="76">
        <f>S75+S77+S76</f>
        <v>656138.95168818696</v>
      </c>
      <c r="T78" s="76"/>
      <c r="U78" s="76">
        <f>U75+U77+U76</f>
        <v>680057.2495288325</v>
      </c>
      <c r="V78" s="76"/>
      <c r="W78" s="76">
        <f>W75+W77+W76</f>
        <v>704481.38984019752</v>
      </c>
      <c r="X78" s="76"/>
      <c r="Y78" s="76">
        <f>Y75+Y77+Y76</f>
        <v>729437.13321962859</v>
      </c>
      <c r="Z78" s="334"/>
      <c r="AC78" s="51"/>
      <c r="AD78" s="51"/>
      <c r="AE78" s="51"/>
      <c r="AF78" s="51"/>
    </row>
    <row r="79" spans="3:45" ht="16.5" customHeight="1" x14ac:dyDescent="0.3">
      <c r="C79" s="335" t="s">
        <v>62</v>
      </c>
      <c r="D79" s="23"/>
      <c r="E79" s="53" t="s">
        <v>24</v>
      </c>
      <c r="F79" s="53"/>
      <c r="G79" s="52"/>
      <c r="H79" s="53"/>
      <c r="I79" s="52"/>
      <c r="J79" s="53"/>
      <c r="K79" s="52"/>
      <c r="L79" s="53"/>
      <c r="M79" s="52"/>
      <c r="N79" s="53"/>
      <c r="O79" s="52"/>
      <c r="P79" s="53"/>
      <c r="Q79" s="52"/>
      <c r="R79" s="53"/>
      <c r="S79" s="52"/>
      <c r="T79" s="53"/>
      <c r="U79" s="52"/>
      <c r="V79" s="53"/>
      <c r="W79" s="52"/>
      <c r="X79" s="53"/>
      <c r="Y79" s="52"/>
      <c r="Z79" s="336"/>
    </row>
    <row r="80" spans="3:45" ht="16.5" customHeight="1" x14ac:dyDescent="0.3">
      <c r="C80" s="337" t="s">
        <v>65</v>
      </c>
      <c r="D80" s="54"/>
      <c r="E80" s="55">
        <v>9</v>
      </c>
      <c r="F80" s="55"/>
      <c r="G80" s="227">
        <f>-E80*'Site Base Data'!G$22</f>
        <v>-180675</v>
      </c>
      <c r="H80" s="54"/>
      <c r="I80" s="44">
        <f>G80*1.03</f>
        <v>-186095.25</v>
      </c>
      <c r="J80" s="43"/>
      <c r="K80" s="44">
        <f>I80*1.03</f>
        <v>-191678.10750000001</v>
      </c>
      <c r="L80" s="43"/>
      <c r="M80" s="44">
        <f>K80*1.03</f>
        <v>-197428.45072500003</v>
      </c>
      <c r="N80" s="43"/>
      <c r="O80" s="44">
        <f>M80*1.03</f>
        <v>-203351.30424675005</v>
      </c>
      <c r="P80" s="43"/>
      <c r="Q80" s="44">
        <f>O80*1.03</f>
        <v>-209451.84337415255</v>
      </c>
      <c r="R80" s="43"/>
      <c r="S80" s="44">
        <f>Q80*1.03</f>
        <v>-215735.39867537713</v>
      </c>
      <c r="T80" s="43"/>
      <c r="U80" s="44">
        <f>S80*1.03</f>
        <v>-222207.46063563845</v>
      </c>
      <c r="V80" s="43"/>
      <c r="W80" s="44">
        <f>U80*1.03</f>
        <v>-228873.6844547076</v>
      </c>
      <c r="X80" s="43"/>
      <c r="Y80" s="44">
        <f t="shared" ref="Y80:Y83" si="2">W80*1.03</f>
        <v>-235739.89498834882</v>
      </c>
      <c r="Z80" s="330"/>
    </row>
    <row r="81" spans="3:26" ht="16.5" customHeight="1" x14ac:dyDescent="0.3">
      <c r="C81" s="338" t="s">
        <v>25</v>
      </c>
      <c r="D81" s="57"/>
      <c r="E81" s="380">
        <v>0.03</v>
      </c>
      <c r="F81" s="57"/>
      <c r="G81" s="56">
        <f>-E81*G75</f>
        <v>-10800</v>
      </c>
      <c r="H81" s="54"/>
      <c r="I81" s="44">
        <f>G81*1.03</f>
        <v>-11124</v>
      </c>
      <c r="J81" s="43"/>
      <c r="K81" s="44">
        <f>I81*1.03</f>
        <v>-11457.720000000001</v>
      </c>
      <c r="L81" s="43"/>
      <c r="M81" s="44">
        <f>K81*1.03</f>
        <v>-11801.451600000002</v>
      </c>
      <c r="N81" s="43"/>
      <c r="O81" s="44">
        <f>M81*1.03</f>
        <v>-12155.495148000002</v>
      </c>
      <c r="P81" s="43"/>
      <c r="Q81" s="44">
        <f>O81*1.03</f>
        <v>-12520.160002440001</v>
      </c>
      <c r="R81" s="43"/>
      <c r="S81" s="44">
        <f>Q81*1.03</f>
        <v>-12895.764802513202</v>
      </c>
      <c r="T81" s="43"/>
      <c r="U81" s="44">
        <f>S81*1.03</f>
        <v>-13282.637746588598</v>
      </c>
      <c r="V81" s="43"/>
      <c r="W81" s="44">
        <f>U81*1.03</f>
        <v>-13681.116878986257</v>
      </c>
      <c r="X81" s="43"/>
      <c r="Y81" s="44">
        <f t="shared" si="2"/>
        <v>-14091.550385355846</v>
      </c>
      <c r="Z81" s="330"/>
    </row>
    <row r="82" spans="3:26" ht="16.5" customHeight="1" x14ac:dyDescent="0.3">
      <c r="C82" s="338" t="s">
        <v>205</v>
      </c>
      <c r="D82" s="57"/>
      <c r="E82" s="381">
        <v>2</v>
      </c>
      <c r="F82" s="57"/>
      <c r="G82" s="227">
        <f>-E82*'Site Base Data'!G14</f>
        <v>-40000</v>
      </c>
      <c r="H82" s="54"/>
      <c r="I82" s="44">
        <f>G82*1.03</f>
        <v>-41200</v>
      </c>
      <c r="J82" s="43"/>
      <c r="K82" s="44">
        <f>I82*1.03</f>
        <v>-42436</v>
      </c>
      <c r="L82" s="43"/>
      <c r="M82" s="44">
        <f>K82*1.03</f>
        <v>-43709.08</v>
      </c>
      <c r="N82" s="43"/>
      <c r="O82" s="44">
        <f>M82*1.03</f>
        <v>-45020.352400000003</v>
      </c>
      <c r="P82" s="43"/>
      <c r="Q82" s="44">
        <f>O82*1.03</f>
        <v>-46370.962972000001</v>
      </c>
      <c r="R82" s="43"/>
      <c r="S82" s="44">
        <f>Q82*1.03</f>
        <v>-47762.091861159999</v>
      </c>
      <c r="T82" s="43"/>
      <c r="U82" s="44">
        <f>S82*1.03</f>
        <v>-49194.954616994801</v>
      </c>
      <c r="V82" s="43"/>
      <c r="W82" s="44">
        <f>U82*1.03</f>
        <v>-50670.803255504645</v>
      </c>
      <c r="X82" s="43"/>
      <c r="Y82" s="44">
        <f t="shared" ref="Y82" si="3">W82*1.03</f>
        <v>-52190.927353169784</v>
      </c>
      <c r="Z82" s="330"/>
    </row>
    <row r="83" spans="3:26" ht="16.5" customHeight="1" x14ac:dyDescent="0.3">
      <c r="C83" s="338" t="s">
        <v>63</v>
      </c>
      <c r="D83" s="59"/>
      <c r="E83" s="55">
        <v>4</v>
      </c>
      <c r="F83" s="55"/>
      <c r="G83" s="227">
        <f>-E83*'Site Base Data'!G$22</f>
        <v>-80300</v>
      </c>
      <c r="H83" s="54"/>
      <c r="I83" s="44">
        <f>G83*1.03</f>
        <v>-82709</v>
      </c>
      <c r="J83" s="43"/>
      <c r="K83" s="44">
        <f>I83*1.03</f>
        <v>-85190.27</v>
      </c>
      <c r="L83" s="43"/>
      <c r="M83" s="44">
        <f>K83*1.03</f>
        <v>-87745.978100000008</v>
      </c>
      <c r="N83" s="43"/>
      <c r="O83" s="44">
        <f>M83*1.03</f>
        <v>-90378.357443000015</v>
      </c>
      <c r="P83" s="43"/>
      <c r="Q83" s="44">
        <f>O83*1.03</f>
        <v>-93089.708166290016</v>
      </c>
      <c r="R83" s="43"/>
      <c r="S83" s="44">
        <f>Q83*1.03</f>
        <v>-95882.399411278719</v>
      </c>
      <c r="T83" s="43"/>
      <c r="U83" s="44">
        <f>S83*1.03</f>
        <v>-98758.871393617083</v>
      </c>
      <c r="V83" s="43"/>
      <c r="W83" s="44">
        <f>U83*1.03</f>
        <v>-101721.6375354256</v>
      </c>
      <c r="X83" s="43"/>
      <c r="Y83" s="44">
        <f t="shared" si="2"/>
        <v>-104773.28666148837</v>
      </c>
      <c r="Z83" s="330"/>
    </row>
    <row r="84" spans="3:26" ht="16.5" customHeight="1" x14ac:dyDescent="0.3">
      <c r="C84" s="333" t="s">
        <v>26</v>
      </c>
      <c r="D84" s="77"/>
      <c r="E84" s="78"/>
      <c r="F84" s="79"/>
      <c r="G84" s="76">
        <f>SUM(G80:G83)</f>
        <v>-311775</v>
      </c>
      <c r="H84" s="79"/>
      <c r="I84" s="76">
        <f>SUM(I80:I83)</f>
        <v>-321128.25</v>
      </c>
      <c r="J84" s="79"/>
      <c r="K84" s="76">
        <f>SUM(K80:K83)</f>
        <v>-330762.09750000003</v>
      </c>
      <c r="L84" s="79"/>
      <c r="M84" s="76">
        <f>SUM(M80:M83)</f>
        <v>-340684.96042500006</v>
      </c>
      <c r="N84" s="79"/>
      <c r="O84" s="76">
        <f>SUM(O80:O83)</f>
        <v>-350905.50923775008</v>
      </c>
      <c r="P84" s="79"/>
      <c r="Q84" s="76">
        <f>SUM(Q80:Q83)</f>
        <v>-361432.67451488256</v>
      </c>
      <c r="R84" s="79"/>
      <c r="S84" s="76">
        <f>SUM(S80:S83)</f>
        <v>-372275.65475032903</v>
      </c>
      <c r="T84" s="79"/>
      <c r="U84" s="76">
        <f>SUM(U80:U83)</f>
        <v>-383443.9243928389</v>
      </c>
      <c r="V84" s="79"/>
      <c r="W84" s="76">
        <f>SUM(W80:W83)</f>
        <v>-394947.24212462408</v>
      </c>
      <c r="X84" s="79"/>
      <c r="Y84" s="76">
        <f>SUM(Y80:Y83)</f>
        <v>-406795.65938836278</v>
      </c>
      <c r="Z84" s="339"/>
    </row>
    <row r="85" spans="3:26" ht="16.5" customHeight="1" x14ac:dyDescent="0.3">
      <c r="C85" s="340"/>
      <c r="D85" s="61"/>
      <c r="E85" s="44"/>
      <c r="F85" s="43"/>
      <c r="G85" s="44"/>
      <c r="H85" s="43"/>
      <c r="I85" s="44"/>
      <c r="J85" s="43"/>
      <c r="K85" s="44"/>
      <c r="L85" s="43"/>
      <c r="M85" s="44"/>
      <c r="N85" s="43"/>
      <c r="O85" s="44"/>
      <c r="P85" s="43"/>
      <c r="Q85" s="44"/>
      <c r="R85" s="43"/>
      <c r="S85" s="44"/>
      <c r="T85" s="43"/>
      <c r="U85" s="44"/>
      <c r="V85" s="43"/>
      <c r="W85" s="44"/>
      <c r="X85" s="43"/>
      <c r="Y85" s="44"/>
      <c r="Z85" s="330"/>
    </row>
    <row r="86" spans="3:26" ht="16.5" customHeight="1" x14ac:dyDescent="0.3">
      <c r="C86" s="333" t="s">
        <v>64</v>
      </c>
      <c r="D86" s="76"/>
      <c r="E86" s="76"/>
      <c r="F86" s="76"/>
      <c r="G86" s="76">
        <f>G78+G84</f>
        <v>210056.25</v>
      </c>
      <c r="H86" s="76"/>
      <c r="I86" s="76">
        <f>I78+I84</f>
        <v>222117.9375</v>
      </c>
      <c r="J86" s="76"/>
      <c r="K86" s="76">
        <f>K78+K84</f>
        <v>234253.47562499996</v>
      </c>
      <c r="L86" s="76"/>
      <c r="M86" s="76">
        <f>M78+M84</f>
        <v>246479.47989374993</v>
      </c>
      <c r="N86" s="76"/>
      <c r="O86" s="76">
        <f>O78+O84</f>
        <v>258812.34429056256</v>
      </c>
      <c r="P86" s="76"/>
      <c r="Q86" s="76">
        <f>Q78+Q84</f>
        <v>271268.27061927941</v>
      </c>
      <c r="R86" s="76"/>
      <c r="S86" s="76">
        <f>S78+S84</f>
        <v>283863.29693785793</v>
      </c>
      <c r="T86" s="76"/>
      <c r="U86" s="76">
        <f>U78+U84</f>
        <v>296613.3251359936</v>
      </c>
      <c r="V86" s="76"/>
      <c r="W86" s="76">
        <f>W78+W84</f>
        <v>309534.14771557343</v>
      </c>
      <c r="X86" s="76"/>
      <c r="Y86" s="76">
        <f>Y78+Y84</f>
        <v>322641.47383126582</v>
      </c>
      <c r="Z86" s="334"/>
    </row>
    <row r="87" spans="3:26" ht="16.5" customHeight="1" x14ac:dyDescent="0.3">
      <c r="C87" s="341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342"/>
    </row>
    <row r="88" spans="3:26" ht="16.5" customHeight="1" x14ac:dyDescent="0.3">
      <c r="C88" s="329" t="s">
        <v>151</v>
      </c>
      <c r="D88" s="23"/>
      <c r="E88" s="20"/>
      <c r="F88" s="23"/>
      <c r="G88" s="112" t="s">
        <v>39</v>
      </c>
      <c r="H88" s="23"/>
      <c r="I88" s="20"/>
      <c r="J88" s="23"/>
      <c r="K88" s="20"/>
      <c r="L88" s="23"/>
      <c r="M88" s="20"/>
      <c r="N88" s="23"/>
      <c r="O88" s="20"/>
      <c r="P88" s="23"/>
      <c r="Q88" s="20"/>
      <c r="R88" s="23"/>
      <c r="S88" s="20"/>
      <c r="T88" s="23"/>
      <c r="U88" s="20"/>
      <c r="V88" s="23"/>
      <c r="W88" s="20"/>
      <c r="X88" s="23"/>
      <c r="Y88" s="20"/>
      <c r="Z88" s="331"/>
    </row>
    <row r="89" spans="3:26" ht="16.5" customHeight="1" x14ac:dyDescent="0.3">
      <c r="C89" s="343" t="s">
        <v>97</v>
      </c>
      <c r="D89" s="23"/>
      <c r="E89" s="43"/>
      <c r="F89" s="23"/>
      <c r="G89" s="106">
        <f>'Sources Uses'!AG$47</f>
        <v>10633600</v>
      </c>
      <c r="H89" s="23"/>
      <c r="I89" s="20"/>
      <c r="J89" s="23"/>
      <c r="K89" s="20"/>
      <c r="L89" s="23"/>
      <c r="M89" s="20"/>
      <c r="N89" s="23"/>
      <c r="O89" s="20"/>
      <c r="P89" s="23"/>
      <c r="Q89" s="20"/>
      <c r="R89" s="23"/>
      <c r="S89" s="20"/>
      <c r="T89" s="23"/>
      <c r="U89" s="20"/>
      <c r="V89" s="23"/>
      <c r="W89" s="20"/>
      <c r="X89" s="23"/>
      <c r="Y89" s="20"/>
      <c r="Z89" s="331"/>
    </row>
    <row r="90" spans="3:26" ht="16.5" customHeight="1" x14ac:dyDescent="0.3">
      <c r="C90" s="332" t="s">
        <v>180</v>
      </c>
      <c r="D90" s="23"/>
      <c r="E90" s="385">
        <v>0.2</v>
      </c>
      <c r="F90" s="43"/>
      <c r="G90" s="43">
        <f>$G$89*E90</f>
        <v>2126720</v>
      </c>
      <c r="H90" s="43"/>
      <c r="I90" s="20"/>
      <c r="J90" s="23"/>
      <c r="K90" s="20"/>
      <c r="L90" s="23"/>
      <c r="M90" s="20"/>
      <c r="N90" s="23"/>
      <c r="O90" s="20"/>
      <c r="P90" s="23"/>
      <c r="Q90" s="20"/>
      <c r="R90" s="23"/>
      <c r="S90" s="20"/>
      <c r="T90" s="23"/>
      <c r="U90" s="20"/>
      <c r="V90" s="23"/>
      <c r="W90" s="20"/>
      <c r="X90" s="23"/>
      <c r="Y90" s="20"/>
      <c r="Z90" s="331"/>
    </row>
    <row r="91" spans="3:26" ht="16.5" customHeight="1" x14ac:dyDescent="0.3">
      <c r="C91" s="332" t="s">
        <v>181</v>
      </c>
      <c r="D91" s="23"/>
      <c r="E91" s="385">
        <v>0.32</v>
      </c>
      <c r="F91" s="43"/>
      <c r="G91" s="43">
        <f>$G$89*E91</f>
        <v>3402752</v>
      </c>
      <c r="H91" s="43"/>
      <c r="I91" s="20"/>
      <c r="J91" s="23"/>
      <c r="K91" s="20"/>
      <c r="L91" s="23"/>
      <c r="M91" s="20"/>
      <c r="N91" s="23"/>
      <c r="O91" s="20"/>
      <c r="P91" s="23"/>
      <c r="Q91" s="20"/>
      <c r="R91" s="23"/>
      <c r="S91" s="20"/>
      <c r="T91" s="23"/>
      <c r="U91" s="20"/>
      <c r="V91" s="23"/>
      <c r="W91" s="20"/>
      <c r="X91" s="23"/>
      <c r="Y91" s="20"/>
      <c r="Z91" s="331"/>
    </row>
    <row r="92" spans="3:26" ht="16.5" customHeight="1" x14ac:dyDescent="0.3">
      <c r="C92" s="332" t="s">
        <v>182</v>
      </c>
      <c r="D92" s="23"/>
      <c r="E92" s="385">
        <f>SUM(1-E90-E91)</f>
        <v>0.48000000000000004</v>
      </c>
      <c r="F92" s="43"/>
      <c r="G92" s="43">
        <f>$G$89*E92</f>
        <v>5104128</v>
      </c>
      <c r="H92" s="43"/>
      <c r="I92" s="20"/>
      <c r="J92" s="23"/>
      <c r="K92" s="20"/>
      <c r="L92" s="23"/>
      <c r="M92" s="20"/>
      <c r="N92" s="23"/>
      <c r="O92" s="20"/>
      <c r="P92" s="23"/>
      <c r="Q92" s="20"/>
      <c r="R92" s="23"/>
      <c r="S92" s="20"/>
      <c r="T92" s="23"/>
      <c r="U92" s="20"/>
      <c r="V92" s="23"/>
      <c r="W92" s="20"/>
      <c r="X92" s="23"/>
      <c r="Y92" s="20"/>
      <c r="Z92" s="331"/>
    </row>
    <row r="93" spans="3:26" ht="16.5" customHeight="1" x14ac:dyDescent="0.3">
      <c r="C93" s="338"/>
      <c r="D93" s="23"/>
      <c r="E93" s="20"/>
      <c r="F93" s="23"/>
      <c r="G93" s="20"/>
      <c r="H93" s="23"/>
      <c r="I93" s="20"/>
      <c r="J93" s="23"/>
      <c r="K93" s="20"/>
      <c r="L93" s="23"/>
      <c r="M93" s="20"/>
      <c r="N93" s="23"/>
      <c r="O93" s="20"/>
      <c r="P93" s="23"/>
      <c r="Q93" s="20"/>
      <c r="R93" s="23"/>
      <c r="S93" s="20"/>
      <c r="T93" s="23"/>
      <c r="U93" s="20"/>
      <c r="V93" s="23"/>
      <c r="W93" s="20"/>
      <c r="X93" s="23"/>
      <c r="Y93" s="20"/>
      <c r="Z93" s="331"/>
    </row>
    <row r="94" spans="3:26" ht="16.5" customHeight="1" x14ac:dyDescent="0.3">
      <c r="C94" s="335" t="s">
        <v>92</v>
      </c>
      <c r="D94" s="23"/>
      <c r="E94" s="20"/>
      <c r="F94" s="23"/>
      <c r="G94" s="107">
        <f>Financing!$M$19</f>
        <v>231900</v>
      </c>
      <c r="H94" s="23"/>
      <c r="I94" s="91">
        <f>Financing!$M$19</f>
        <v>231900</v>
      </c>
      <c r="J94" s="23"/>
      <c r="K94" s="91">
        <f>Financing!$M$19</f>
        <v>231900</v>
      </c>
      <c r="L94" s="23"/>
      <c r="M94" s="91">
        <f>Financing!$M$19</f>
        <v>231900</v>
      </c>
      <c r="N94" s="23"/>
      <c r="O94" s="91">
        <f>Financing!$M$19</f>
        <v>231900</v>
      </c>
      <c r="P94" s="23"/>
      <c r="Q94" s="91">
        <f>Financing!$M$19</f>
        <v>231900</v>
      </c>
      <c r="R94" s="23"/>
      <c r="S94" s="91">
        <f>Financing!$M$19</f>
        <v>231900</v>
      </c>
      <c r="T94" s="23"/>
      <c r="U94" s="91">
        <f>Financing!$M$19</f>
        <v>231900</v>
      </c>
      <c r="V94" s="91"/>
      <c r="W94" s="91">
        <f>Financing!$M$19</f>
        <v>231900</v>
      </c>
      <c r="X94" s="23"/>
      <c r="Y94" s="91">
        <f>Financing!$M$19</f>
        <v>231900</v>
      </c>
      <c r="Z94" s="331"/>
    </row>
    <row r="95" spans="3:26" ht="16.5" customHeight="1" thickBot="1" x14ac:dyDescent="0.35">
      <c r="C95" s="327" t="s">
        <v>59</v>
      </c>
      <c r="D95" s="80"/>
      <c r="E95" s="80"/>
      <c r="F95" s="81"/>
      <c r="G95" s="82">
        <f>G86-G94</f>
        <v>-21843.75</v>
      </c>
      <c r="H95" s="82"/>
      <c r="I95" s="83">
        <f>I86-I94</f>
        <v>-9782.0625</v>
      </c>
      <c r="J95" s="83"/>
      <c r="K95" s="83">
        <f>K86-K94</f>
        <v>2353.4756249999627</v>
      </c>
      <c r="L95" s="83"/>
      <c r="M95" s="83">
        <f>M86-M94</f>
        <v>14579.479893749929</v>
      </c>
      <c r="N95" s="83"/>
      <c r="O95" s="83">
        <f>O86-O94</f>
        <v>26912.344290562556</v>
      </c>
      <c r="P95" s="83"/>
      <c r="Q95" s="83">
        <f>Q86-Q94</f>
        <v>39368.270619279414</v>
      </c>
      <c r="R95" s="83"/>
      <c r="S95" s="83">
        <f>S86-S94</f>
        <v>51963.296937857929</v>
      </c>
      <c r="T95" s="83"/>
      <c r="U95" s="83">
        <f>U86-U94</f>
        <v>64713.325135993597</v>
      </c>
      <c r="V95" s="83"/>
      <c r="W95" s="83">
        <f>W86-W94</f>
        <v>77634.147715573432</v>
      </c>
      <c r="X95" s="83"/>
      <c r="Y95" s="83">
        <f>Y86-Y94</f>
        <v>90741.473831265816</v>
      </c>
      <c r="Z95" s="344"/>
    </row>
    <row r="96" spans="3:26" ht="16.5" customHeight="1" thickBot="1" x14ac:dyDescent="0.35">
      <c r="C96" s="345" t="s">
        <v>94</v>
      </c>
      <c r="D96" s="23"/>
      <c r="E96" s="23"/>
      <c r="F96" s="23"/>
      <c r="G96" s="66">
        <f>SUM(G86/G94)</f>
        <v>0.90580530401034931</v>
      </c>
      <c r="H96" s="66"/>
      <c r="I96" s="66">
        <f>SUM(I86/I94)</f>
        <v>0.95781775549805948</v>
      </c>
      <c r="J96" s="66"/>
      <c r="K96" s="388">
        <f>SUM(K86/K94)</f>
        <v>1.0101486659120309</v>
      </c>
      <c r="L96" s="66"/>
      <c r="M96" s="66">
        <f>SUM(M86/M94)</f>
        <v>1.06286968475097</v>
      </c>
      <c r="N96" s="66"/>
      <c r="O96" s="66">
        <f>SUM(O86/O94)</f>
        <v>1.1160515062119989</v>
      </c>
      <c r="P96" s="66">
        <v>1</v>
      </c>
      <c r="Q96" s="66">
        <f>SUM(Q86/Q94)</f>
        <v>1.1697639957709332</v>
      </c>
      <c r="R96" s="66"/>
      <c r="S96" s="66">
        <f>SUM(S86/S94)</f>
        <v>1.2240763127980074</v>
      </c>
      <c r="T96" s="66"/>
      <c r="U96" s="66">
        <f>SUM(U86/U94)</f>
        <v>1.2790570294781958</v>
      </c>
      <c r="V96" s="66"/>
      <c r="W96" s="66">
        <f>SUM(W86/W94)</f>
        <v>1.3347742462939778</v>
      </c>
      <c r="X96" s="66"/>
      <c r="Y96" s="66">
        <f>SUM(Y86/Y94)</f>
        <v>1.3912957043176619</v>
      </c>
      <c r="Z96" s="346"/>
    </row>
    <row r="97" spans="3:26" ht="16.5" customHeight="1" x14ac:dyDescent="0.3">
      <c r="C97" s="327" t="s">
        <v>37</v>
      </c>
      <c r="D97" s="84"/>
      <c r="E97" s="85"/>
      <c r="F97" s="86"/>
      <c r="G97" s="87">
        <f>(G95)/$G$28</f>
        <v>-2.8589305037921443E-3</v>
      </c>
      <c r="H97" s="87"/>
      <c r="I97" s="87">
        <f>(I95)/$G$28</f>
        <v>-1.280285522002918E-3</v>
      </c>
      <c r="J97" s="87"/>
      <c r="K97" s="87">
        <f>(K95)/$G$28</f>
        <v>3.0802509890672045E-4</v>
      </c>
      <c r="L97" s="87"/>
      <c r="M97" s="87">
        <f>(M95)/$G$28</f>
        <v>1.9081760136270523E-3</v>
      </c>
      <c r="N97" s="87"/>
      <c r="O97" s="87">
        <f>(O95)/$G$28</f>
        <v>3.5223128822132487E-3</v>
      </c>
      <c r="P97" s="87"/>
      <c r="Q97" s="87">
        <f>(Q95)/$G$28</f>
        <v>5.1525562119600328E-3</v>
      </c>
      <c r="R97" s="87"/>
      <c r="S97" s="87">
        <f>(S95)/$G$28</f>
        <v>6.8010050789471116E-3</v>
      </c>
      <c r="T97" s="87"/>
      <c r="U97" s="87">
        <f>(U95)/$G$28</f>
        <v>8.4697407374242518E-3</v>
      </c>
      <c r="V97" s="87"/>
      <c r="W97" s="87">
        <f>(W95)/$G$28</f>
        <v>1.0160830124862174E-2</v>
      </c>
      <c r="X97" s="87"/>
      <c r="Y97" s="87">
        <f>(Y95)/$G$28</f>
        <v>1.1876329270169383E-2</v>
      </c>
      <c r="Z97" s="347"/>
    </row>
    <row r="98" spans="3:26" ht="16.5" customHeight="1" x14ac:dyDescent="0.3">
      <c r="C98" s="348"/>
      <c r="E98" s="17"/>
      <c r="F98" s="17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349"/>
    </row>
    <row r="99" spans="3:26" ht="16.5" customHeight="1" thickBot="1" x14ac:dyDescent="0.35">
      <c r="C99" s="350" t="s">
        <v>96</v>
      </c>
      <c r="D99" s="351"/>
      <c r="E99" s="352"/>
      <c r="F99" s="353"/>
      <c r="G99" s="354">
        <f>(G95)/$G$27</f>
        <v>-3.4307166045505731E-4</v>
      </c>
      <c r="H99" s="354"/>
      <c r="I99" s="354">
        <f>(I95)/$G$27</f>
        <v>-1.5363426264035018E-4</v>
      </c>
      <c r="J99" s="354"/>
      <c r="K99" s="354">
        <f>(K95)/$G$27</f>
        <v>3.6963011868806453E-5</v>
      </c>
      <c r="L99" s="354"/>
      <c r="M99" s="354">
        <f>(M95)/$G$27</f>
        <v>2.2898112163524626E-4</v>
      </c>
      <c r="N99" s="354"/>
      <c r="O99" s="354">
        <f>(O95)/$G$27</f>
        <v>4.2267754586558981E-4</v>
      </c>
      <c r="P99" s="354"/>
      <c r="Q99" s="354">
        <f>(Q95)/$G$27</f>
        <v>6.1830674543520391E-4</v>
      </c>
      <c r="R99" s="354"/>
      <c r="S99" s="354">
        <f>(S95)/$G$27</f>
        <v>8.1612060947365333E-4</v>
      </c>
      <c r="T99" s="354"/>
      <c r="U99" s="354">
        <f>(U95)/$G$27</f>
        <v>1.0163688884909103E-3</v>
      </c>
      <c r="V99" s="354"/>
      <c r="W99" s="354">
        <f>(W95)/$G$27</f>
        <v>1.2192996149834607E-3</v>
      </c>
      <c r="X99" s="354"/>
      <c r="Y99" s="354">
        <f>(Y95)/$G$27</f>
        <v>1.4251595124203259E-3</v>
      </c>
      <c r="Z99" s="355"/>
    </row>
    <row r="100" spans="3:26" ht="15.75" customHeight="1" x14ac:dyDescent="0.3"/>
    <row r="101" spans="3:26" ht="15.75" customHeight="1" x14ac:dyDescent="0.3"/>
    <row r="102" spans="3:26" ht="15.75" customHeight="1" x14ac:dyDescent="0.3"/>
    <row r="103" spans="3:26" ht="15.75" customHeight="1" x14ac:dyDescent="0.3"/>
    <row r="104" spans="3:26" ht="15.75" customHeight="1" x14ac:dyDescent="0.3"/>
    <row r="105" spans="3:26" ht="15.75" customHeight="1" x14ac:dyDescent="0.3"/>
    <row r="106" spans="3:26" ht="15.75" customHeight="1" x14ac:dyDescent="0.3"/>
    <row r="107" spans="3:26" ht="15.75" customHeight="1" x14ac:dyDescent="0.3"/>
    <row r="108" spans="3:26" ht="15.75" customHeight="1" x14ac:dyDescent="0.3"/>
    <row r="109" spans="3:26" ht="15.75" customHeight="1" x14ac:dyDescent="0.3"/>
    <row r="110" spans="3:26" ht="15.75" customHeight="1" x14ac:dyDescent="0.3"/>
    <row r="111" spans="3:26" ht="15.75" customHeight="1" x14ac:dyDescent="0.3"/>
    <row r="112" spans="3:26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</sheetData>
  <mergeCells count="10">
    <mergeCell ref="G2:I2"/>
    <mergeCell ref="C72:Z72"/>
    <mergeCell ref="D74:E74"/>
    <mergeCell ref="D12:E12"/>
    <mergeCell ref="C10:Z10"/>
    <mergeCell ref="C9:E9"/>
    <mergeCell ref="C40:E40"/>
    <mergeCell ref="C41:Z41"/>
    <mergeCell ref="D43:E43"/>
    <mergeCell ref="C71:E71"/>
  </mergeCells>
  <pageMargins left="0.7" right="0.7" top="0.75" bottom="0.75" header="0.3" footer="0.3"/>
  <pageSetup scale="40" fitToWidth="0" orientation="landscape" r:id="rId1"/>
  <headerFooter scaleWithDoc="0">
    <oddHeader>&amp;R&amp;G</oddHeader>
    <oddFooter>&amp;L&amp;G&amp;C&amp;9DRAFT &amp;P&amp;R&amp;9Page&amp;P</oddFooter>
  </headerFooter>
  <rowBreaks count="1" manualBreakCount="1">
    <brk id="68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F946-8076-43D7-9E1F-0890A4CF0786}">
  <sheetPr>
    <tabColor rgb="FFFEA8BA"/>
  </sheetPr>
  <dimension ref="A1:N978"/>
  <sheetViews>
    <sheetView tabSelected="1" zoomScale="80" zoomScaleNormal="80" workbookViewId="0">
      <selection activeCell="N26" sqref="N26"/>
    </sheetView>
  </sheetViews>
  <sheetFormatPr defaultColWidth="14.453125" defaultRowHeight="15" customHeight="1" x14ac:dyDescent="0.3"/>
  <cols>
    <col min="1" max="1" width="2.81640625" style="1" customWidth="1"/>
    <col min="2" max="2" width="13.26953125" style="1" customWidth="1"/>
    <col min="3" max="3" width="20.36328125" style="1" customWidth="1"/>
    <col min="4" max="4" width="12.08984375" style="1" customWidth="1"/>
    <col min="5" max="5" width="20.26953125" style="1" customWidth="1"/>
    <col min="6" max="7" width="9.90625" style="1" customWidth="1"/>
    <col min="8" max="8" width="12.453125" style="1" customWidth="1"/>
    <col min="9" max="9" width="12.453125" style="2" customWidth="1"/>
    <col min="10" max="10" width="12.453125" style="1" customWidth="1"/>
    <col min="11" max="11" width="8.7265625" style="1" customWidth="1"/>
    <col min="12" max="12" width="12.1796875" style="1" customWidth="1"/>
    <col min="13" max="13" width="8.7265625" style="1" customWidth="1"/>
    <col min="14" max="14" width="13.08984375" style="1" customWidth="1"/>
    <col min="15" max="15" width="8.7265625" style="1" customWidth="1"/>
    <col min="16" max="18" width="16.7265625" style="1" customWidth="1"/>
    <col min="19" max="19" width="5.26953125" style="1" customWidth="1"/>
    <col min="20" max="21" width="16.7265625" style="1" customWidth="1"/>
    <col min="22" max="16384" width="14.453125" style="1"/>
  </cols>
  <sheetData>
    <row r="1" spans="1:14" ht="19" customHeight="1" thickBot="1" x14ac:dyDescent="0.35">
      <c r="B1" s="569" t="s">
        <v>230</v>
      </c>
      <c r="C1" s="568"/>
      <c r="D1" s="568"/>
      <c r="E1" s="568"/>
      <c r="F1" s="568"/>
      <c r="G1" s="566"/>
      <c r="H1" s="566"/>
      <c r="I1" s="566"/>
      <c r="J1" s="567"/>
      <c r="K1" s="4"/>
      <c r="L1" s="14"/>
      <c r="M1" s="14"/>
      <c r="N1" s="575"/>
    </row>
    <row r="2" spans="1:14" s="2" customFormat="1" ht="19" customHeight="1" x14ac:dyDescent="0.3">
      <c r="B2" s="573"/>
      <c r="C2" s="574"/>
      <c r="D2" s="574"/>
      <c r="E2" s="574"/>
      <c r="F2" s="574"/>
      <c r="G2" s="565"/>
      <c r="H2" s="575"/>
      <c r="I2" s="565"/>
      <c r="J2" s="565"/>
      <c r="K2" s="14"/>
      <c r="L2" s="14"/>
      <c r="M2" s="14"/>
      <c r="N2" s="4"/>
    </row>
    <row r="3" spans="1:14" ht="19" customHeight="1" thickBot="1" x14ac:dyDescent="0.35">
      <c r="A3" s="4"/>
      <c r="B3" s="4"/>
      <c r="C3" s="4"/>
      <c r="E3" s="2"/>
      <c r="I3" s="241" t="s">
        <v>170</v>
      </c>
      <c r="J3" s="241"/>
      <c r="K3" s="13"/>
      <c r="L3" s="262"/>
      <c r="M3" s="263"/>
      <c r="N3" s="256"/>
    </row>
    <row r="4" spans="1:14" ht="19" customHeight="1" x14ac:dyDescent="0.45">
      <c r="A4" s="4"/>
      <c r="B4" s="219" t="s">
        <v>83</v>
      </c>
      <c r="C4" s="220"/>
      <c r="D4" s="209"/>
      <c r="E4" s="211"/>
      <c r="F4" s="210"/>
      <c r="I4" s="224"/>
      <c r="J4" s="1" t="s">
        <v>168</v>
      </c>
      <c r="K4" s="14"/>
      <c r="M4" s="117"/>
    </row>
    <row r="5" spans="1:14" ht="19" customHeight="1" x14ac:dyDescent="0.45">
      <c r="A5" s="4"/>
      <c r="B5" s="185" t="s">
        <v>84</v>
      </c>
      <c r="C5" s="603" t="str">
        <f>'Site Base Data'!C4</f>
        <v>Michigan</v>
      </c>
      <c r="D5" s="101"/>
      <c r="E5" s="151"/>
      <c r="F5" s="24"/>
      <c r="G5" s="14"/>
      <c r="I5" s="225"/>
      <c r="J5" s="14" t="s">
        <v>169</v>
      </c>
      <c r="K5" s="13"/>
      <c r="M5" s="117"/>
    </row>
    <row r="6" spans="1:14" ht="19" customHeight="1" x14ac:dyDescent="0.3">
      <c r="A6" s="4"/>
      <c r="B6" s="186" t="s">
        <v>85</v>
      </c>
      <c r="C6" s="603" t="str">
        <f>'Site Base Data'!C5</f>
        <v>115th &amp; Michigan</v>
      </c>
      <c r="D6" s="176"/>
      <c r="E6" s="176"/>
      <c r="F6" s="176"/>
      <c r="G6" s="14"/>
      <c r="I6" s="232"/>
      <c r="J6" s="14" t="s">
        <v>105</v>
      </c>
      <c r="K6" s="14"/>
      <c r="L6" s="14"/>
      <c r="M6" s="13"/>
    </row>
    <row r="7" spans="1:14" ht="19" customHeight="1" x14ac:dyDescent="0.3">
      <c r="A7" s="4"/>
      <c r="B7" s="186" t="s">
        <v>2</v>
      </c>
      <c r="C7" s="603">
        <f>'Site Base Data'!C6</f>
        <v>1</v>
      </c>
      <c r="D7" s="180"/>
      <c r="E7" s="177"/>
      <c r="F7" s="177"/>
      <c r="G7" s="177"/>
      <c r="I7" s="234"/>
      <c r="J7" s="14" t="s">
        <v>171</v>
      </c>
      <c r="K7" s="182"/>
      <c r="L7" s="72"/>
      <c r="M7" s="13"/>
    </row>
    <row r="8" spans="1:14" ht="19" customHeight="1" x14ac:dyDescent="0.3">
      <c r="A8" s="4"/>
      <c r="B8" s="96"/>
      <c r="C8" s="586"/>
      <c r="D8" s="187"/>
      <c r="E8" s="176"/>
      <c r="F8" s="176"/>
      <c r="G8" s="14"/>
      <c r="I8" s="226"/>
      <c r="J8" s="14" t="s">
        <v>82</v>
      </c>
      <c r="K8" s="14"/>
      <c r="L8" s="14"/>
      <c r="M8" s="13"/>
    </row>
    <row r="9" spans="1:14" ht="19" customHeight="1" x14ac:dyDescent="0.3">
      <c r="A9" s="4"/>
      <c r="D9" s="97"/>
      <c r="F9" s="113"/>
      <c r="G9" s="14"/>
      <c r="I9" s="177"/>
      <c r="J9" s="182"/>
      <c r="K9" s="14"/>
      <c r="L9" s="14"/>
    </row>
    <row r="10" spans="1:14" s="2" customFormat="1" ht="13" customHeight="1" thickBot="1" x14ac:dyDescent="0.35">
      <c r="A10" s="4"/>
      <c r="B10" s="189"/>
      <c r="C10" s="640" t="s">
        <v>133</v>
      </c>
      <c r="D10" s="640"/>
      <c r="F10" s="114"/>
      <c r="G10" s="14"/>
      <c r="H10" s="14"/>
      <c r="I10" s="14"/>
      <c r="J10" s="14"/>
      <c r="K10" s="14"/>
      <c r="L10" s="14"/>
    </row>
    <row r="11" spans="1:14" ht="13" customHeight="1" x14ac:dyDescent="0.3">
      <c r="C11" s="356" t="s">
        <v>129</v>
      </c>
      <c r="D11" s="357"/>
      <c r="E11" s="357"/>
      <c r="F11" s="357"/>
      <c r="G11" s="357"/>
      <c r="H11" s="357"/>
      <c r="I11" s="357"/>
      <c r="J11" s="358"/>
    </row>
    <row r="12" spans="1:14" ht="28.5" customHeight="1" x14ac:dyDescent="0.3">
      <c r="B12" s="26"/>
      <c r="C12" s="359" t="s">
        <v>75</v>
      </c>
      <c r="D12" s="37" t="s">
        <v>210</v>
      </c>
      <c r="E12" s="37" t="s">
        <v>0</v>
      </c>
      <c r="F12" s="37" t="s">
        <v>15</v>
      </c>
      <c r="G12" s="38" t="s">
        <v>213</v>
      </c>
      <c r="H12" s="38" t="s">
        <v>206</v>
      </c>
      <c r="I12" s="88"/>
      <c r="J12" s="360" t="s">
        <v>79</v>
      </c>
      <c r="K12" s="26"/>
      <c r="L12" s="26"/>
      <c r="M12" s="26"/>
    </row>
    <row r="13" spans="1:14" ht="19" customHeight="1" x14ac:dyDescent="0.3">
      <c r="C13" s="361" t="str">
        <f>'Site Base Data'!E11</f>
        <v>Multi-family,
Retail</v>
      </c>
      <c r="D13" s="12"/>
      <c r="E13" s="249"/>
      <c r="F13" s="249"/>
      <c r="G13" s="249"/>
      <c r="H13" s="249"/>
      <c r="I13" s="362"/>
      <c r="J13" s="363"/>
    </row>
    <row r="14" spans="1:14" ht="19" customHeight="1" x14ac:dyDescent="0.3">
      <c r="C14" s="364" t="s">
        <v>128</v>
      </c>
      <c r="D14" s="181" t="s">
        <v>211</v>
      </c>
      <c r="E14" s="235">
        <f>'Site Base Data'!E$14</f>
        <v>5000</v>
      </c>
      <c r="F14" s="33"/>
      <c r="H14" s="379">
        <v>18</v>
      </c>
      <c r="I14" s="89"/>
      <c r="J14" s="365">
        <f>H14*E14</f>
        <v>90000</v>
      </c>
    </row>
    <row r="15" spans="1:14" ht="19" customHeight="1" x14ac:dyDescent="0.3">
      <c r="C15" s="364" t="s">
        <v>127</v>
      </c>
      <c r="D15" s="181" t="s">
        <v>211</v>
      </c>
      <c r="E15" s="235">
        <f>'Site Base Data'!E$16</f>
        <v>79880</v>
      </c>
      <c r="F15" s="33"/>
      <c r="G15" s="379">
        <v>1.4</v>
      </c>
      <c r="I15" s="89"/>
      <c r="J15" s="365">
        <f>SUM(E15*G15*12)</f>
        <v>1341984</v>
      </c>
    </row>
    <row r="16" spans="1:14" ht="31.5" customHeight="1" x14ac:dyDescent="0.3">
      <c r="C16" s="364" t="s">
        <v>77</v>
      </c>
      <c r="D16" s="39"/>
      <c r="E16" s="280" t="s">
        <v>204</v>
      </c>
      <c r="F16" s="235">
        <f>'Site Base Data'!E$23</f>
        <v>115</v>
      </c>
      <c r="G16" s="33"/>
      <c r="J16" s="363"/>
    </row>
    <row r="17" spans="2:13" ht="15.75" customHeight="1" thickBot="1" x14ac:dyDescent="0.35">
      <c r="C17" s="366" t="s">
        <v>144</v>
      </c>
      <c r="D17" s="367"/>
      <c r="E17" s="368"/>
      <c r="F17" s="368"/>
      <c r="G17" s="368"/>
      <c r="H17" s="369"/>
      <c r="I17" s="370"/>
      <c r="J17" s="371">
        <f>SUM(J14+J15)</f>
        <v>1431984</v>
      </c>
      <c r="K17" s="3"/>
    </row>
    <row r="18" spans="2:13" s="2" customFormat="1" ht="15.75" customHeight="1" x14ac:dyDescent="0.3">
      <c r="C18" s="108"/>
      <c r="D18" s="108"/>
      <c r="E18" s="105"/>
      <c r="F18" s="105"/>
      <c r="G18" s="105"/>
      <c r="H18" s="90"/>
      <c r="I18" s="108"/>
      <c r="J18" s="109"/>
      <c r="K18" s="4"/>
    </row>
    <row r="19" spans="2:13" ht="17.5" customHeight="1" thickBot="1" x14ac:dyDescent="0.35">
      <c r="C19" s="640" t="s">
        <v>134</v>
      </c>
      <c r="D19" s="640"/>
      <c r="E19" s="33"/>
      <c r="F19" s="33"/>
      <c r="G19" s="33"/>
      <c r="H19" s="34"/>
      <c r="I19" s="90"/>
      <c r="J19" s="34"/>
      <c r="K19" s="3"/>
      <c r="M19" s="2"/>
    </row>
    <row r="20" spans="2:13" ht="17.5" customHeight="1" x14ac:dyDescent="0.3">
      <c r="C20" s="356" t="s">
        <v>130</v>
      </c>
      <c r="D20" s="357"/>
      <c r="E20" s="357"/>
      <c r="F20" s="357"/>
      <c r="G20" s="357"/>
      <c r="H20" s="357"/>
      <c r="I20" s="357"/>
      <c r="J20" s="358"/>
      <c r="K20" s="3"/>
    </row>
    <row r="21" spans="2:13" ht="15.75" customHeight="1" x14ac:dyDescent="0.3">
      <c r="B21" s="26"/>
      <c r="C21" s="359" t="s">
        <v>75</v>
      </c>
      <c r="D21" s="37" t="s">
        <v>210</v>
      </c>
      <c r="E21" s="37" t="s">
        <v>0</v>
      </c>
      <c r="F21" s="37" t="s">
        <v>15</v>
      </c>
      <c r="G21" s="38" t="s">
        <v>213</v>
      </c>
      <c r="H21" s="38" t="s">
        <v>206</v>
      </c>
      <c r="I21" s="88"/>
      <c r="J21" s="360" t="s">
        <v>79</v>
      </c>
      <c r="K21" s="3"/>
    </row>
    <row r="22" spans="2:13" ht="15.75" customHeight="1" x14ac:dyDescent="0.3">
      <c r="C22" s="372" t="str">
        <f>'Site Base Data'!F11</f>
        <v>Multi-family, 
Retail</v>
      </c>
      <c r="D22" s="12"/>
      <c r="E22" s="249"/>
      <c r="F22" s="249"/>
      <c r="G22" s="249"/>
      <c r="H22" s="249"/>
      <c r="I22" s="362"/>
      <c r="J22" s="363"/>
      <c r="K22" s="3"/>
    </row>
    <row r="23" spans="2:13" ht="15.75" customHeight="1" x14ac:dyDescent="0.3">
      <c r="C23" s="364" t="s">
        <v>128</v>
      </c>
      <c r="D23" s="181" t="s">
        <v>211</v>
      </c>
      <c r="E23" s="235">
        <f>'Site Base Data'!F$14</f>
        <v>13585</v>
      </c>
      <c r="F23" s="33"/>
      <c r="H23" s="379">
        <v>18</v>
      </c>
      <c r="I23" s="89"/>
      <c r="J23" s="365">
        <f>H23*E23</f>
        <v>244530</v>
      </c>
      <c r="K23" s="3"/>
    </row>
    <row r="24" spans="2:13" ht="15.75" customHeight="1" x14ac:dyDescent="0.3">
      <c r="C24" s="364" t="s">
        <v>127</v>
      </c>
      <c r="D24" s="181" t="s">
        <v>211</v>
      </c>
      <c r="E24" s="235">
        <f>'Site Base Data'!F$16</f>
        <v>72500</v>
      </c>
      <c r="F24" s="33"/>
      <c r="G24" s="379">
        <v>1.4</v>
      </c>
      <c r="I24" s="89"/>
      <c r="J24" s="365">
        <f>SUM(E24*G24*12)</f>
        <v>1218000</v>
      </c>
      <c r="K24" s="3"/>
    </row>
    <row r="25" spans="2:13" ht="28" customHeight="1" x14ac:dyDescent="0.3">
      <c r="C25" s="364" t="s">
        <v>77</v>
      </c>
      <c r="D25" s="39"/>
      <c r="E25" s="280" t="s">
        <v>204</v>
      </c>
      <c r="F25" s="235">
        <f>'Site Base Data'!F$23</f>
        <v>85</v>
      </c>
      <c r="G25" s="33"/>
      <c r="J25" s="363"/>
      <c r="K25" s="3"/>
    </row>
    <row r="26" spans="2:13" ht="15.75" customHeight="1" thickBot="1" x14ac:dyDescent="0.35">
      <c r="C26" s="366" t="s">
        <v>145</v>
      </c>
      <c r="D26" s="367"/>
      <c r="E26" s="368"/>
      <c r="F26" s="368"/>
      <c r="G26" s="368"/>
      <c r="H26" s="369"/>
      <c r="I26" s="370"/>
      <c r="J26" s="371">
        <f>SUM(J23+J24)</f>
        <v>1462530</v>
      </c>
      <c r="K26" s="3"/>
    </row>
    <row r="27" spans="2:13" s="2" customFormat="1" ht="15.75" customHeight="1" x14ac:dyDescent="0.3">
      <c r="C27" s="108"/>
      <c r="D27" s="108"/>
      <c r="E27" s="105"/>
      <c r="F27" s="105"/>
      <c r="G27" s="105"/>
      <c r="H27" s="90"/>
      <c r="I27" s="108"/>
      <c r="J27" s="109"/>
      <c r="K27" s="4"/>
    </row>
    <row r="28" spans="2:13" ht="18.5" customHeight="1" x14ac:dyDescent="0.3">
      <c r="C28" s="640" t="s">
        <v>135</v>
      </c>
      <c r="D28" s="640"/>
      <c r="E28" s="33"/>
      <c r="F28" s="33"/>
      <c r="G28" s="33"/>
      <c r="H28" s="34"/>
      <c r="I28" s="90"/>
      <c r="J28" s="34"/>
      <c r="K28" s="3"/>
    </row>
    <row r="29" spans="2:13" ht="18.5" customHeight="1" thickBot="1" x14ac:dyDescent="0.35">
      <c r="C29" s="236" t="s">
        <v>131</v>
      </c>
      <c r="D29" s="236"/>
      <c r="E29" s="236"/>
      <c r="F29" s="236"/>
      <c r="G29" s="236"/>
      <c r="H29" s="236"/>
      <c r="I29" s="236"/>
      <c r="J29" s="236"/>
      <c r="K29" s="3"/>
    </row>
    <row r="30" spans="2:13" ht="15.75" customHeight="1" x14ac:dyDescent="0.3">
      <c r="B30" s="26"/>
      <c r="C30" s="373" t="s">
        <v>75</v>
      </c>
      <c r="D30" s="37" t="s">
        <v>210</v>
      </c>
      <c r="E30" s="374" t="s">
        <v>0</v>
      </c>
      <c r="F30" s="374" t="s">
        <v>15</v>
      </c>
      <c r="G30" s="38" t="s">
        <v>213</v>
      </c>
      <c r="H30" s="38" t="s">
        <v>206</v>
      </c>
      <c r="I30" s="88"/>
      <c r="J30" s="360" t="s">
        <v>79</v>
      </c>
      <c r="K30" s="3"/>
    </row>
    <row r="31" spans="2:13" ht="15.75" customHeight="1" x14ac:dyDescent="0.3">
      <c r="C31" s="372" t="str">
        <f>'Site Base Data'!G11</f>
        <v>Commercial, Grocery</v>
      </c>
      <c r="D31" s="12"/>
      <c r="E31" s="249"/>
      <c r="F31" s="249"/>
      <c r="G31" s="249"/>
      <c r="H31" s="249"/>
      <c r="I31" s="362"/>
      <c r="J31" s="363"/>
      <c r="K31" s="3"/>
    </row>
    <row r="32" spans="2:13" ht="15.75" customHeight="1" x14ac:dyDescent="0.3">
      <c r="C32" s="364" t="s">
        <v>128</v>
      </c>
      <c r="D32" s="181" t="s">
        <v>211</v>
      </c>
      <c r="E32" s="235">
        <f>'Site Base Data'!G$14</f>
        <v>20000</v>
      </c>
      <c r="F32" s="33"/>
      <c r="H32" s="379">
        <v>18</v>
      </c>
      <c r="I32" s="89"/>
      <c r="J32" s="365">
        <f>H32*E32</f>
        <v>360000</v>
      </c>
      <c r="K32" s="3"/>
    </row>
    <row r="33" spans="3:11" ht="15.75" customHeight="1" x14ac:dyDescent="0.3">
      <c r="C33" s="364" t="s">
        <v>127</v>
      </c>
      <c r="D33" s="181" t="s">
        <v>211</v>
      </c>
      <c r="E33" s="235">
        <f>'Site Base Data'!G$16</f>
        <v>0</v>
      </c>
      <c r="F33" s="33"/>
      <c r="G33" s="379">
        <v>0</v>
      </c>
      <c r="I33" s="89"/>
      <c r="J33" s="365">
        <f>SUM(E33*G33*12)</f>
        <v>0</v>
      </c>
      <c r="K33" s="3"/>
    </row>
    <row r="34" spans="3:11" ht="15.5" customHeight="1" x14ac:dyDescent="0.3">
      <c r="C34" s="364" t="s">
        <v>77</v>
      </c>
      <c r="D34" s="39"/>
      <c r="E34" s="33"/>
      <c r="F34" s="105">
        <f>'Site Base Data'!G$23</f>
        <v>0</v>
      </c>
      <c r="G34" s="33"/>
      <c r="J34" s="363"/>
      <c r="K34" s="3"/>
    </row>
    <row r="35" spans="3:11" ht="15.75" customHeight="1" thickBot="1" x14ac:dyDescent="0.35">
      <c r="C35" s="366" t="s">
        <v>146</v>
      </c>
      <c r="D35" s="367"/>
      <c r="E35" s="368"/>
      <c r="F35" s="368"/>
      <c r="G35" s="368"/>
      <c r="H35" s="369"/>
      <c r="I35" s="370"/>
      <c r="J35" s="371">
        <f>SUM(J32+J33)</f>
        <v>360000</v>
      </c>
      <c r="K35" s="3"/>
    </row>
    <row r="36" spans="3:11" ht="15.75" customHeight="1" x14ac:dyDescent="0.3">
      <c r="C36" s="3"/>
      <c r="D36" s="3"/>
      <c r="E36" s="3"/>
      <c r="F36" s="3"/>
      <c r="G36" s="3"/>
      <c r="H36" s="3"/>
      <c r="I36" s="4"/>
      <c r="J36" s="3"/>
      <c r="K36" s="3"/>
    </row>
    <row r="37" spans="3:11" ht="15.75" customHeight="1" x14ac:dyDescent="0.3">
      <c r="C37" s="35"/>
      <c r="D37" s="35"/>
      <c r="E37" s="3"/>
      <c r="F37" s="3"/>
      <c r="G37" s="3"/>
      <c r="H37" s="3"/>
      <c r="I37" s="4"/>
      <c r="J37" s="3"/>
      <c r="K37" s="3"/>
    </row>
    <row r="38" spans="3:11" ht="15.75" customHeight="1" x14ac:dyDescent="0.3">
      <c r="C38" s="3"/>
      <c r="D38" s="3"/>
      <c r="E38" s="3"/>
      <c r="F38" s="3"/>
      <c r="G38" s="3"/>
      <c r="H38" s="3"/>
      <c r="I38" s="4"/>
      <c r="J38" s="3"/>
      <c r="K38" s="3"/>
    </row>
    <row r="39" spans="3:11" ht="15.75" customHeight="1" x14ac:dyDescent="0.3">
      <c r="C39" s="3"/>
      <c r="D39" s="3"/>
      <c r="E39" s="3"/>
      <c r="F39" s="3"/>
      <c r="G39" s="3"/>
      <c r="H39" s="3"/>
      <c r="I39" s="4"/>
      <c r="J39" s="3"/>
      <c r="K39" s="3"/>
    </row>
    <row r="40" spans="3:11" ht="15.75" customHeight="1" x14ac:dyDescent="0.3"/>
    <row r="41" spans="3:11" ht="15.75" customHeight="1" x14ac:dyDescent="0.3"/>
    <row r="42" spans="3:11" ht="15.75" customHeight="1" x14ac:dyDescent="0.3"/>
    <row r="43" spans="3:11" ht="15.75" customHeight="1" x14ac:dyDescent="0.3"/>
    <row r="44" spans="3:11" ht="15.75" customHeight="1" x14ac:dyDescent="0.3"/>
    <row r="45" spans="3:11" ht="15.75" customHeight="1" x14ac:dyDescent="0.3"/>
    <row r="46" spans="3:11" ht="15.75" customHeight="1" x14ac:dyDescent="0.3"/>
    <row r="47" spans="3:11" ht="15.75" customHeight="1" x14ac:dyDescent="0.3"/>
    <row r="48" spans="3:11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</sheetData>
  <mergeCells count="3">
    <mergeCell ref="C10:D10"/>
    <mergeCell ref="C19:D19"/>
    <mergeCell ref="C28:D28"/>
  </mergeCells>
  <pageMargins left="0.7" right="0.7" top="0.75" bottom="0.75" header="0.3" footer="0.3"/>
  <pageSetup scale="60" fitToWidth="0" orientation="landscape" r:id="rId1"/>
  <headerFooter scaleWithDoc="0">
    <oddHeader>&amp;R&amp;G</oddHeader>
    <oddFooter>&amp;L&amp;G&amp;C&amp;9DRAFT &amp;P&amp;R&amp;9Page&amp;P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8E3C-71C7-4D87-B816-DFE6F18EB7C8}">
  <sheetPr>
    <tabColor rgb="FFF7C5A7"/>
  </sheetPr>
  <dimension ref="B1:P20"/>
  <sheetViews>
    <sheetView tabSelected="1" zoomScale="90" zoomScaleNormal="90" workbookViewId="0">
      <selection activeCell="N26" sqref="N26"/>
    </sheetView>
  </sheetViews>
  <sheetFormatPr defaultColWidth="8.7265625" defaultRowHeight="14" x14ac:dyDescent="0.3"/>
  <cols>
    <col min="1" max="1" width="2.90625" style="1" customWidth="1"/>
    <col min="2" max="2" width="13.26953125" style="1" customWidth="1"/>
    <col min="3" max="3" width="17.81640625" style="1" customWidth="1"/>
    <col min="4" max="4" width="7.36328125" style="1" customWidth="1"/>
    <col min="5" max="5" width="11.08984375" style="1" customWidth="1"/>
    <col min="6" max="6" width="7.36328125" style="1" customWidth="1"/>
    <col min="7" max="7" width="17.81640625" style="1" customWidth="1"/>
    <col min="8" max="8" width="7.36328125" style="1" customWidth="1"/>
    <col min="9" max="9" width="11.08984375" style="1" customWidth="1"/>
    <col min="10" max="10" width="5.6328125" style="1" customWidth="1"/>
    <col min="11" max="11" width="17.81640625" style="1" customWidth="1"/>
    <col min="12" max="12" width="7.36328125" style="1" customWidth="1"/>
    <col min="13" max="13" width="11.08984375" style="1" customWidth="1"/>
    <col min="14" max="14" width="8.7265625" style="1"/>
    <col min="15" max="15" width="11.54296875" style="1" customWidth="1"/>
    <col min="16" max="16" width="15.81640625" style="1" customWidth="1"/>
    <col min="17" max="16384" width="8.7265625" style="1"/>
  </cols>
  <sheetData>
    <row r="1" spans="2:16" ht="19" customHeight="1" thickBot="1" x14ac:dyDescent="0.45">
      <c r="B1" s="569" t="s">
        <v>230</v>
      </c>
      <c r="C1" s="568"/>
      <c r="D1" s="568"/>
      <c r="E1" s="568"/>
      <c r="F1" s="568"/>
      <c r="G1" s="566"/>
      <c r="H1" s="566"/>
      <c r="I1" s="566"/>
      <c r="J1" s="567"/>
      <c r="K1" s="570"/>
      <c r="L1" s="570"/>
      <c r="M1" s="571"/>
      <c r="O1" s="242" t="s">
        <v>170</v>
      </c>
      <c r="P1" s="242"/>
    </row>
    <row r="2" spans="2:16" ht="19" customHeight="1" x14ac:dyDescent="0.3">
      <c r="B2" s="2"/>
      <c r="C2" s="2"/>
      <c r="F2" s="2"/>
      <c r="J2" s="14"/>
      <c r="K2" s="14"/>
      <c r="M2" s="575"/>
      <c r="N2" s="244"/>
      <c r="O2" s="224"/>
      <c r="P2" s="1" t="s">
        <v>168</v>
      </c>
    </row>
    <row r="3" spans="2:16" ht="19" customHeight="1" x14ac:dyDescent="0.45">
      <c r="B3" s="219" t="s">
        <v>83</v>
      </c>
      <c r="C3" s="221"/>
      <c r="D3" s="222"/>
      <c r="E3" s="210"/>
      <c r="F3" s="211"/>
      <c r="G3" s="210"/>
      <c r="J3" s="14"/>
      <c r="K3" s="14"/>
      <c r="O3" s="225"/>
      <c r="P3" s="14" t="s">
        <v>169</v>
      </c>
    </row>
    <row r="4" spans="2:16" ht="19" customHeight="1" x14ac:dyDescent="0.45">
      <c r="B4" s="185" t="s">
        <v>84</v>
      </c>
      <c r="C4" s="603" t="str">
        <f>'Site Base Data'!C4</f>
        <v>Michigan</v>
      </c>
      <c r="D4" s="101"/>
      <c r="E4" s="24"/>
      <c r="F4" s="151"/>
      <c r="G4" s="245"/>
      <c r="J4" s="14"/>
      <c r="K4" s="14"/>
      <c r="O4" s="232"/>
      <c r="P4" s="14" t="s">
        <v>105</v>
      </c>
    </row>
    <row r="5" spans="2:16" s="4" customFormat="1" ht="19" customHeight="1" x14ac:dyDescent="0.3">
      <c r="B5" s="186" t="s">
        <v>85</v>
      </c>
      <c r="C5" s="603" t="str">
        <f>'Site Base Data'!C5</f>
        <v>115th &amp; Michigan</v>
      </c>
      <c r="D5" s="171"/>
      <c r="E5" s="171"/>
      <c r="F5" s="171"/>
      <c r="G5" s="239"/>
      <c r="J5" s="14"/>
      <c r="K5" s="14"/>
      <c r="O5" s="234"/>
      <c r="P5" s="14" t="s">
        <v>171</v>
      </c>
    </row>
    <row r="6" spans="2:16" s="145" customFormat="1" ht="19" customHeight="1" x14ac:dyDescent="0.3">
      <c r="B6" s="186" t="s">
        <v>2</v>
      </c>
      <c r="C6" s="603">
        <f>'Site Base Data'!C6</f>
        <v>1</v>
      </c>
      <c r="D6" s="180"/>
      <c r="E6" s="177"/>
      <c r="F6" s="177"/>
      <c r="J6" s="182"/>
      <c r="K6" s="182"/>
      <c r="O6" s="226"/>
      <c r="P6" s="14" t="s">
        <v>82</v>
      </c>
    </row>
    <row r="7" spans="2:16" ht="19" customHeight="1" x14ac:dyDescent="0.3">
      <c r="D7" s="97"/>
      <c r="E7" s="147"/>
      <c r="G7" s="113"/>
      <c r="H7" s="14"/>
      <c r="I7" s="14"/>
      <c r="J7" s="14"/>
      <c r="K7" s="14"/>
    </row>
    <row r="8" spans="2:16" s="2" customFormat="1" ht="16" customHeight="1" thickBot="1" x14ac:dyDescent="0.35">
      <c r="B8" s="96"/>
      <c r="C8" s="184"/>
      <c r="D8" s="97"/>
      <c r="E8" s="188"/>
      <c r="G8" s="114"/>
      <c r="H8" s="14"/>
      <c r="I8" s="14"/>
      <c r="J8" s="14"/>
      <c r="K8" s="14"/>
      <c r="L8" s="14"/>
      <c r="M8" s="14"/>
    </row>
    <row r="9" spans="2:16" ht="16" customHeight="1" x14ac:dyDescent="0.35">
      <c r="C9" s="673" t="s">
        <v>133</v>
      </c>
      <c r="D9" s="674"/>
      <c r="E9" s="675"/>
      <c r="F9" s="3"/>
      <c r="G9" s="673" t="s">
        <v>134</v>
      </c>
      <c r="H9" s="674"/>
      <c r="I9" s="675"/>
      <c r="J9" s="14"/>
      <c r="K9" s="673" t="s">
        <v>135</v>
      </c>
      <c r="L9" s="674"/>
      <c r="M9" s="675"/>
      <c r="O9" s="676"/>
      <c r="P9" s="677"/>
    </row>
    <row r="10" spans="2:16" ht="16" customHeight="1" x14ac:dyDescent="0.35">
      <c r="C10" s="670" t="s">
        <v>44</v>
      </c>
      <c r="D10" s="671"/>
      <c r="E10" s="672"/>
      <c r="F10" s="3"/>
      <c r="G10" s="670" t="s">
        <v>44</v>
      </c>
      <c r="H10" s="671"/>
      <c r="I10" s="672"/>
      <c r="J10" s="14"/>
      <c r="K10" s="670" t="s">
        <v>44</v>
      </c>
      <c r="L10" s="671"/>
      <c r="M10" s="672"/>
      <c r="O10" s="668" t="s">
        <v>44</v>
      </c>
      <c r="P10" s="669"/>
    </row>
    <row r="11" spans="2:16" ht="16.5" customHeight="1" x14ac:dyDescent="0.3">
      <c r="C11" s="193" t="s">
        <v>45</v>
      </c>
      <c r="D11" s="192"/>
      <c r="E11" s="194"/>
      <c r="F11" s="3"/>
      <c r="G11" s="193" t="s">
        <v>45</v>
      </c>
      <c r="H11" s="192"/>
      <c r="I11" s="194"/>
      <c r="J11" s="3"/>
      <c r="K11" s="193" t="s">
        <v>45</v>
      </c>
      <c r="L11" s="192"/>
      <c r="M11" s="194">
        <v>44621</v>
      </c>
      <c r="O11" s="375" t="s">
        <v>45</v>
      </c>
      <c r="P11" s="376"/>
    </row>
    <row r="12" spans="2:16" ht="16.5" customHeight="1" thickBot="1" x14ac:dyDescent="0.35">
      <c r="C12" s="195" t="s">
        <v>46</v>
      </c>
      <c r="D12" s="191"/>
      <c r="E12" s="196">
        <v>44621</v>
      </c>
      <c r="G12" s="195" t="s">
        <v>46</v>
      </c>
      <c r="H12" s="191"/>
      <c r="I12" s="206">
        <v>44621</v>
      </c>
      <c r="K12" s="195" t="s">
        <v>46</v>
      </c>
      <c r="L12" s="191"/>
      <c r="M12" s="206">
        <v>44621</v>
      </c>
      <c r="O12" s="375" t="s">
        <v>46</v>
      </c>
      <c r="P12" s="375"/>
    </row>
    <row r="13" spans="2:16" ht="16.5" customHeight="1" thickBot="1" x14ac:dyDescent="0.45">
      <c r="C13" s="197" t="s">
        <v>47</v>
      </c>
      <c r="D13" s="149" t="s">
        <v>80</v>
      </c>
      <c r="E13" s="431">
        <f>'Pro-Forma'!G29</f>
        <v>4775332.5</v>
      </c>
      <c r="G13" s="197" t="s">
        <v>47</v>
      </c>
      <c r="H13" s="148" t="s">
        <v>80</v>
      </c>
      <c r="I13" s="430">
        <f>'Pro-Forma'!G60</f>
        <v>7029528</v>
      </c>
      <c r="K13" s="197" t="s">
        <v>47</v>
      </c>
      <c r="L13" s="148" t="s">
        <v>80</v>
      </c>
      <c r="M13" s="430">
        <f>'Pro-Forma'!G91</f>
        <v>3402752</v>
      </c>
      <c r="O13" s="375" t="s">
        <v>47</v>
      </c>
      <c r="P13" s="376" t="s">
        <v>190</v>
      </c>
    </row>
    <row r="14" spans="2:16" ht="16.5" customHeight="1" x14ac:dyDescent="0.3">
      <c r="C14" s="197" t="s">
        <v>48</v>
      </c>
      <c r="D14" s="148" t="s">
        <v>49</v>
      </c>
      <c r="E14" s="198">
        <v>5.5E-2</v>
      </c>
      <c r="G14" s="197" t="s">
        <v>48</v>
      </c>
      <c r="H14" s="148" t="s">
        <v>49</v>
      </c>
      <c r="I14" s="207">
        <v>5.5E-2</v>
      </c>
      <c r="J14" s="2"/>
      <c r="K14" s="197" t="s">
        <v>48</v>
      </c>
      <c r="L14" s="148" t="s">
        <v>49</v>
      </c>
      <c r="M14" s="207">
        <v>5.5E-2</v>
      </c>
      <c r="O14" s="375" t="s">
        <v>48</v>
      </c>
      <c r="P14" s="376" t="s">
        <v>49</v>
      </c>
    </row>
    <row r="15" spans="2:16" ht="16.5" customHeight="1" x14ac:dyDescent="0.3">
      <c r="C15" s="197" t="s">
        <v>50</v>
      </c>
      <c r="D15" s="148" t="s">
        <v>51</v>
      </c>
      <c r="E15" s="199">
        <f>E14/12</f>
        <v>4.5833333333333334E-3</v>
      </c>
      <c r="G15" s="197" t="s">
        <v>50</v>
      </c>
      <c r="H15" s="148" t="s">
        <v>51</v>
      </c>
      <c r="I15" s="199">
        <f>I14/12</f>
        <v>4.5833333333333334E-3</v>
      </c>
      <c r="J15" s="2"/>
      <c r="K15" s="197" t="s">
        <v>50</v>
      </c>
      <c r="L15" s="148" t="s">
        <v>51</v>
      </c>
      <c r="M15" s="199">
        <f>M14/12</f>
        <v>4.5833333333333334E-3</v>
      </c>
      <c r="O15" s="375" t="s">
        <v>50</v>
      </c>
      <c r="P15" s="376" t="s">
        <v>51</v>
      </c>
    </row>
    <row r="16" spans="2:16" ht="16.5" customHeight="1" x14ac:dyDescent="0.3">
      <c r="C16" s="200" t="s">
        <v>52</v>
      </c>
      <c r="D16" s="150" t="s">
        <v>53</v>
      </c>
      <c r="E16" s="201">
        <f>32*12</f>
        <v>384</v>
      </c>
      <c r="G16" s="200" t="s">
        <v>52</v>
      </c>
      <c r="H16" s="150" t="s">
        <v>53</v>
      </c>
      <c r="I16" s="201">
        <f>32*12</f>
        <v>384</v>
      </c>
      <c r="J16" s="2"/>
      <c r="K16" s="200" t="s">
        <v>52</v>
      </c>
      <c r="L16" s="150" t="s">
        <v>53</v>
      </c>
      <c r="M16" s="201">
        <f>32*12</f>
        <v>384</v>
      </c>
      <c r="O16" s="375" t="s">
        <v>52</v>
      </c>
      <c r="P16" s="376" t="s">
        <v>53</v>
      </c>
    </row>
    <row r="17" spans="3:16" ht="16.5" customHeight="1" x14ac:dyDescent="0.3">
      <c r="C17" s="197" t="s">
        <v>54</v>
      </c>
      <c r="D17" s="148" t="s">
        <v>55</v>
      </c>
      <c r="E17" s="201">
        <f>30*12</f>
        <v>360</v>
      </c>
      <c r="G17" s="197" t="s">
        <v>54</v>
      </c>
      <c r="H17" s="148" t="s">
        <v>55</v>
      </c>
      <c r="I17" s="201">
        <f>30*12</f>
        <v>360</v>
      </c>
      <c r="J17" s="2"/>
      <c r="K17" s="197" t="s">
        <v>54</v>
      </c>
      <c r="L17" s="148" t="s">
        <v>55</v>
      </c>
      <c r="M17" s="201">
        <f>30*12</f>
        <v>360</v>
      </c>
      <c r="O17" s="375" t="s">
        <v>54</v>
      </c>
      <c r="P17" s="376" t="s">
        <v>55</v>
      </c>
    </row>
    <row r="18" spans="3:16" ht="16.5" customHeight="1" thickBot="1" x14ac:dyDescent="0.45">
      <c r="C18" s="202" t="s">
        <v>56</v>
      </c>
      <c r="D18" s="36" t="s">
        <v>81</v>
      </c>
      <c r="E18" s="436">
        <f>E13*(E15/(1-(1+E15)^(-E17)))</f>
        <v>27113.812712748844</v>
      </c>
      <c r="G18" s="202" t="s">
        <v>56</v>
      </c>
      <c r="H18" s="36" t="s">
        <v>81</v>
      </c>
      <c r="I18" s="436">
        <f>I13*(I15/(1-(1+I15)^(-I17)))</f>
        <v>39912.886830607909</v>
      </c>
      <c r="K18" s="202" t="s">
        <v>56</v>
      </c>
      <c r="L18" s="36" t="s">
        <v>81</v>
      </c>
      <c r="M18" s="436">
        <f>M13*(M15/(1-(1+M15)^(-M17)))</f>
        <v>19320.451599115153</v>
      </c>
      <c r="O18" s="375" t="s">
        <v>56</v>
      </c>
      <c r="P18" s="376" t="s">
        <v>191</v>
      </c>
    </row>
    <row r="19" spans="3:16" ht="16.5" customHeight="1" thickBot="1" x14ac:dyDescent="0.45">
      <c r="C19" s="202" t="s">
        <v>183</v>
      </c>
      <c r="D19" s="435" t="s">
        <v>81</v>
      </c>
      <c r="E19" s="437">
        <f>ROUNDUP(E18*12, -2)</f>
        <v>325400</v>
      </c>
      <c r="G19" s="202" t="s">
        <v>183</v>
      </c>
      <c r="H19" s="435" t="s">
        <v>81</v>
      </c>
      <c r="I19" s="437">
        <f>ROUNDUP(I18*12, -2)</f>
        <v>479000</v>
      </c>
      <c r="K19" s="202" t="s">
        <v>183</v>
      </c>
      <c r="L19" s="435" t="s">
        <v>81</v>
      </c>
      <c r="M19" s="437">
        <f>ROUNDUP(M18*12, -2)</f>
        <v>231900</v>
      </c>
      <c r="O19" s="375" t="s">
        <v>57</v>
      </c>
      <c r="P19" s="376" t="s">
        <v>191</v>
      </c>
    </row>
    <row r="20" spans="3:16" ht="16.5" customHeight="1" thickBot="1" x14ac:dyDescent="0.35">
      <c r="C20" s="203" t="s">
        <v>58</v>
      </c>
      <c r="D20" s="204"/>
      <c r="E20" s="205"/>
      <c r="G20" s="203" t="s">
        <v>58</v>
      </c>
      <c r="H20" s="204"/>
      <c r="I20" s="205"/>
      <c r="K20" s="203" t="s">
        <v>58</v>
      </c>
      <c r="L20" s="204"/>
      <c r="M20" s="205"/>
      <c r="O20" s="375" t="s">
        <v>58</v>
      </c>
      <c r="P20" s="377"/>
    </row>
  </sheetData>
  <mergeCells count="8">
    <mergeCell ref="O10:P10"/>
    <mergeCell ref="C10:E10"/>
    <mergeCell ref="G10:I10"/>
    <mergeCell ref="K10:M10"/>
    <mergeCell ref="C9:E9"/>
    <mergeCell ref="O9:P9"/>
    <mergeCell ref="G9:I9"/>
    <mergeCell ref="K9:M9"/>
  </mergeCells>
  <pageMargins left="0.7" right="0.7" top="0.75" bottom="0.75" header="0.3" footer="0.3"/>
  <pageSetup scale="70" fitToWidth="0" orientation="landscape" r:id="rId1"/>
  <headerFooter scaleWithDoc="0">
    <oddHeader>&amp;R&amp;G</oddHeader>
    <oddFooter>&amp;L&amp;G&amp;C&amp;9DRAFT &amp;P&amp;R&amp;9Page&amp;P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D860-E170-48B6-BB31-12C13AEADDF8}">
  <sheetPr>
    <tabColor theme="2" tint="-0.249977111117893"/>
    <pageSetUpPr fitToPage="1"/>
  </sheetPr>
  <dimension ref="A1:P41"/>
  <sheetViews>
    <sheetView tabSelected="1" zoomScale="70" zoomScaleNormal="70" workbookViewId="0">
      <selection activeCell="N26" sqref="N26"/>
    </sheetView>
  </sheetViews>
  <sheetFormatPr defaultColWidth="8.7265625" defaultRowHeight="14" x14ac:dyDescent="0.3"/>
  <cols>
    <col min="1" max="1" width="3" style="1" customWidth="1"/>
    <col min="2" max="2" width="13.54296875" style="1" customWidth="1"/>
    <col min="3" max="3" width="35.81640625" style="1" customWidth="1"/>
    <col min="4" max="4" width="13.6328125" style="153" customWidth="1"/>
    <col min="5" max="5" width="13.36328125" style="1" customWidth="1"/>
    <col min="6" max="7" width="13.6328125" style="1" customWidth="1"/>
    <col min="8" max="8" width="3.6328125" style="1" customWidth="1"/>
    <col min="9" max="9" width="12.54296875" style="1" customWidth="1"/>
    <col min="10" max="10" width="8.7265625" style="1"/>
    <col min="11" max="11" width="47.90625" style="1" customWidth="1"/>
    <col min="12" max="12" width="43.453125" style="1" customWidth="1"/>
    <col min="13" max="13" width="34.26953125" style="1" customWidth="1"/>
    <col min="14" max="14" width="10" style="1" customWidth="1"/>
    <col min="15" max="15" width="4.90625" style="1" customWidth="1"/>
    <col min="16" max="16" width="28.453125" style="1" customWidth="1"/>
    <col min="17" max="19" width="8.7265625" style="1"/>
    <col min="20" max="20" width="5.26953125" style="1" customWidth="1"/>
    <col min="21" max="21" width="23" style="1" customWidth="1"/>
    <col min="22" max="22" width="15" style="1" customWidth="1"/>
    <col min="23" max="23" width="8.7265625" style="1"/>
    <col min="24" max="24" width="21.453125" style="1" customWidth="1"/>
    <col min="25" max="16384" width="8.7265625" style="1"/>
  </cols>
  <sheetData>
    <row r="1" spans="1:16" ht="18" customHeight="1" thickBot="1" x14ac:dyDescent="0.45">
      <c r="A1" s="2"/>
      <c r="B1" s="569" t="s">
        <v>230</v>
      </c>
      <c r="C1" s="568"/>
      <c r="D1" s="568"/>
      <c r="E1" s="568"/>
      <c r="F1" s="568"/>
      <c r="G1" s="566"/>
      <c r="H1" s="566"/>
      <c r="I1" s="567"/>
      <c r="J1" s="565"/>
      <c r="K1" s="572"/>
      <c r="L1" s="572"/>
      <c r="M1" s="572"/>
      <c r="N1" s="552"/>
      <c r="O1" s="552"/>
      <c r="P1" s="4"/>
    </row>
    <row r="2" spans="1:16" ht="18" customHeight="1" x14ac:dyDescent="0.45">
      <c r="C2" s="24"/>
      <c r="D2" s="101"/>
      <c r="E2" s="24"/>
      <c r="F2" s="151"/>
      <c r="G2" s="24"/>
      <c r="H2" s="24"/>
      <c r="I2" s="575"/>
      <c r="J2" s="24"/>
      <c r="K2" s="24"/>
      <c r="L2" s="24"/>
      <c r="M2" s="24"/>
      <c r="N2" s="24"/>
      <c r="O2" s="24"/>
    </row>
    <row r="3" spans="1:16" ht="18" customHeight="1" x14ac:dyDescent="0.45">
      <c r="B3" s="219" t="s">
        <v>83</v>
      </c>
      <c r="C3" s="220"/>
      <c r="D3" s="209"/>
      <c r="E3" s="210"/>
      <c r="F3" s="211"/>
      <c r="G3" s="210"/>
      <c r="H3" s="24"/>
      <c r="I3" s="24"/>
      <c r="J3" s="223"/>
      <c r="K3" s="24"/>
      <c r="L3" s="24"/>
      <c r="M3" s="24"/>
      <c r="N3" s="24"/>
      <c r="O3" s="24"/>
    </row>
    <row r="4" spans="1:16" ht="18" customHeight="1" x14ac:dyDescent="0.45">
      <c r="B4" s="185" t="s">
        <v>84</v>
      </c>
      <c r="C4" s="604" t="s">
        <v>160</v>
      </c>
      <c r="D4" s="101"/>
      <c r="E4" s="24"/>
      <c r="F4" s="151"/>
      <c r="G4" s="24"/>
      <c r="H4" s="24"/>
      <c r="I4" s="24"/>
      <c r="J4" s="24"/>
      <c r="M4" s="257"/>
      <c r="N4" s="257"/>
      <c r="O4" s="24"/>
    </row>
    <row r="5" spans="1:16" s="178" customFormat="1" ht="18" customHeight="1" x14ac:dyDescent="0.3">
      <c r="B5" s="186" t="s">
        <v>85</v>
      </c>
      <c r="C5" s="605" t="s">
        <v>174</v>
      </c>
      <c r="D5" s="183"/>
      <c r="E5" s="183"/>
      <c r="F5" s="183"/>
      <c r="G5" s="183"/>
      <c r="H5" s="179"/>
      <c r="I5" s="179"/>
      <c r="J5" s="256"/>
      <c r="M5" s="1"/>
      <c r="N5" s="1"/>
      <c r="O5" s="179"/>
    </row>
    <row r="6" spans="1:16" s="113" customFormat="1" ht="18" customHeight="1" x14ac:dyDescent="0.3">
      <c r="B6" s="186" t="s">
        <v>2</v>
      </c>
      <c r="C6" s="605">
        <v>1</v>
      </c>
      <c r="D6" s="180"/>
      <c r="E6" s="177"/>
      <c r="F6" s="177"/>
      <c r="G6" s="177"/>
      <c r="H6" s="152"/>
      <c r="J6" s="255"/>
      <c r="M6" s="1"/>
      <c r="N6" s="1"/>
      <c r="O6" s="152"/>
    </row>
    <row r="7" spans="1:16" ht="15" customHeight="1" x14ac:dyDescent="0.3">
      <c r="C7" s="24"/>
      <c r="D7" s="101"/>
      <c r="E7" s="24"/>
      <c r="F7" s="24"/>
      <c r="G7" s="24"/>
      <c r="H7" s="24"/>
      <c r="J7" s="24"/>
      <c r="M7" s="2"/>
      <c r="N7" s="2"/>
      <c r="O7" s="24"/>
    </row>
    <row r="8" spans="1:16" ht="16.5" customHeight="1" x14ac:dyDescent="0.3">
      <c r="C8" s="100" t="s">
        <v>132</v>
      </c>
      <c r="D8" s="154" t="s">
        <v>2</v>
      </c>
      <c r="E8" s="155" t="s">
        <v>133</v>
      </c>
      <c r="F8" s="155" t="s">
        <v>134</v>
      </c>
      <c r="G8" s="155" t="s">
        <v>135</v>
      </c>
      <c r="H8" s="94"/>
      <c r="I8" s="24"/>
      <c r="J8" s="24"/>
      <c r="O8" s="24"/>
    </row>
    <row r="9" spans="1:16" ht="16.5" customHeight="1" x14ac:dyDescent="0.3">
      <c r="C9" s="102" t="s">
        <v>5</v>
      </c>
      <c r="D9" s="156">
        <f>SUM(E9:G9)</f>
        <v>112455</v>
      </c>
      <c r="E9" s="27">
        <v>36495</v>
      </c>
      <c r="F9" s="27">
        <v>29500</v>
      </c>
      <c r="G9" s="27">
        <v>46460</v>
      </c>
      <c r="H9" s="94"/>
      <c r="I9" s="24"/>
      <c r="J9" s="24"/>
      <c r="K9" s="2"/>
      <c r="L9" s="2"/>
      <c r="M9" s="2"/>
      <c r="N9" s="2"/>
      <c r="O9" s="24"/>
      <c r="P9" s="2"/>
    </row>
    <row r="10" spans="1:16" ht="16.5" customHeight="1" x14ac:dyDescent="0.3">
      <c r="C10" s="27" t="s">
        <v>136</v>
      </c>
      <c r="D10" s="156"/>
      <c r="E10" s="264" t="s">
        <v>197</v>
      </c>
      <c r="F10" s="264" t="s">
        <v>198</v>
      </c>
      <c r="G10" s="264" t="s">
        <v>199</v>
      </c>
      <c r="H10" s="94"/>
      <c r="I10" s="24"/>
      <c r="J10" s="24"/>
      <c r="K10" s="2"/>
      <c r="L10" s="2"/>
      <c r="M10" s="2"/>
      <c r="N10" s="2"/>
      <c r="O10" s="24"/>
      <c r="P10" s="2"/>
    </row>
    <row r="11" spans="1:16" ht="30.5" customHeight="1" x14ac:dyDescent="0.3">
      <c r="C11" s="27" t="s">
        <v>75</v>
      </c>
      <c r="D11" s="156"/>
      <c r="E11" s="212" t="s">
        <v>195</v>
      </c>
      <c r="F11" s="212" t="s">
        <v>196</v>
      </c>
      <c r="G11" s="259" t="s">
        <v>194</v>
      </c>
      <c r="H11" s="67"/>
      <c r="I11" s="24"/>
      <c r="J11" s="24"/>
      <c r="K11" s="257"/>
      <c r="L11" s="257"/>
      <c r="M11" s="172"/>
      <c r="N11" s="24"/>
      <c r="O11" s="24"/>
      <c r="P11" s="2"/>
    </row>
    <row r="12" spans="1:16" ht="16.5" customHeight="1" x14ac:dyDescent="0.3">
      <c r="C12" s="27" t="s">
        <v>68</v>
      </c>
      <c r="D12" s="156">
        <f>SUM(E12:G12)</f>
        <v>978</v>
      </c>
      <c r="E12" s="27">
        <v>393</v>
      </c>
      <c r="F12" s="27">
        <v>397</v>
      </c>
      <c r="G12" s="27">
        <v>188</v>
      </c>
      <c r="H12" s="67"/>
      <c r="I12" s="67"/>
      <c r="J12" s="24"/>
      <c r="K12" s="281"/>
      <c r="L12" s="281"/>
      <c r="M12" s="172"/>
      <c r="N12" s="24"/>
      <c r="O12" s="24"/>
      <c r="P12" s="2"/>
    </row>
    <row r="13" spans="1:16" ht="16.5" customHeight="1" x14ac:dyDescent="0.3">
      <c r="C13" s="27" t="s">
        <v>6</v>
      </c>
      <c r="D13" s="157"/>
      <c r="E13" s="158">
        <v>27355</v>
      </c>
      <c r="F13" s="158">
        <v>26130</v>
      </c>
      <c r="G13" s="158">
        <v>20075</v>
      </c>
      <c r="H13" s="67"/>
      <c r="I13" s="67"/>
      <c r="J13" s="24"/>
      <c r="K13" s="2"/>
      <c r="L13" s="24"/>
      <c r="M13" s="172"/>
      <c r="N13" s="24"/>
      <c r="O13" s="24"/>
      <c r="P13" s="2"/>
    </row>
    <row r="14" spans="1:16" ht="16.5" customHeight="1" x14ac:dyDescent="0.3">
      <c r="C14" s="27" t="s">
        <v>7</v>
      </c>
      <c r="D14" s="156"/>
      <c r="E14" s="158">
        <v>5000</v>
      </c>
      <c r="F14" s="158">
        <v>13585</v>
      </c>
      <c r="G14" s="158">
        <v>20000</v>
      </c>
      <c r="H14" s="67"/>
      <c r="I14" s="67"/>
      <c r="J14" s="24"/>
      <c r="K14" s="279"/>
      <c r="L14" s="24"/>
      <c r="M14" s="172"/>
      <c r="N14" s="24"/>
      <c r="O14" s="24"/>
      <c r="P14" s="2"/>
    </row>
    <row r="15" spans="1:16" ht="16.5" customHeight="1" x14ac:dyDescent="0.3">
      <c r="C15" s="27" t="s">
        <v>8</v>
      </c>
      <c r="D15" s="156"/>
      <c r="E15" s="27">
        <v>8125</v>
      </c>
      <c r="F15" s="27">
        <v>3375</v>
      </c>
      <c r="G15" s="27">
        <v>20000</v>
      </c>
      <c r="H15" s="67"/>
      <c r="I15" s="67"/>
      <c r="J15" s="2"/>
      <c r="K15" s="279"/>
      <c r="L15" s="24"/>
      <c r="M15" s="2"/>
      <c r="N15" s="2"/>
      <c r="O15" s="2"/>
      <c r="P15" s="2"/>
    </row>
    <row r="16" spans="1:16" ht="16.5" customHeight="1" x14ac:dyDescent="0.3">
      <c r="C16" s="27" t="s">
        <v>137</v>
      </c>
      <c r="D16" s="156">
        <f>SUM(E16:G16)</f>
        <v>152380</v>
      </c>
      <c r="E16" s="27">
        <f>(E17*E18)+(E19*E20)</f>
        <v>79880</v>
      </c>
      <c r="F16" s="27">
        <f>(F17*F18)+(F19*F20)</f>
        <v>72500</v>
      </c>
      <c r="G16" s="27">
        <v>0</v>
      </c>
      <c r="H16" s="67"/>
      <c r="I16" s="67"/>
      <c r="J16" s="2"/>
      <c r="K16" s="2"/>
      <c r="L16" s="2"/>
      <c r="M16" s="2"/>
      <c r="N16" s="2"/>
      <c r="O16" s="2"/>
      <c r="P16" s="2"/>
    </row>
    <row r="17" spans="3:16" ht="16.5" customHeight="1" x14ac:dyDescent="0.3">
      <c r="C17" s="27" t="s">
        <v>9</v>
      </c>
      <c r="D17" s="156"/>
      <c r="E17" s="27">
        <v>15805</v>
      </c>
      <c r="F17" s="27">
        <v>18125</v>
      </c>
      <c r="G17" s="27"/>
      <c r="H17" s="67"/>
      <c r="I17" s="67"/>
      <c r="J17" s="2"/>
      <c r="K17" s="279"/>
      <c r="L17" s="24"/>
      <c r="M17" s="2"/>
      <c r="N17" s="2"/>
      <c r="O17" s="2"/>
      <c r="P17" s="2"/>
    </row>
    <row r="18" spans="3:16" ht="16.5" customHeight="1" x14ac:dyDescent="0.3">
      <c r="C18" s="27" t="s">
        <v>10</v>
      </c>
      <c r="D18" s="156"/>
      <c r="E18" s="27">
        <v>4</v>
      </c>
      <c r="F18" s="27">
        <v>4</v>
      </c>
      <c r="G18" s="27"/>
      <c r="H18" s="67"/>
      <c r="I18" s="67"/>
      <c r="J18" s="2"/>
      <c r="K18" s="2"/>
      <c r="L18" s="2"/>
      <c r="M18" s="2"/>
      <c r="N18" s="2"/>
      <c r="O18" s="2"/>
      <c r="P18" s="2"/>
    </row>
    <row r="19" spans="3:16" ht="16.5" customHeight="1" x14ac:dyDescent="0.3">
      <c r="C19" s="27" t="s">
        <v>11</v>
      </c>
      <c r="D19" s="156"/>
      <c r="E19" s="27">
        <v>8330</v>
      </c>
      <c r="F19" s="27"/>
      <c r="G19" s="27"/>
      <c r="H19" s="67"/>
      <c r="I19" s="67"/>
      <c r="J19" s="2"/>
      <c r="K19" s="2"/>
      <c r="L19" s="2"/>
      <c r="M19" s="2"/>
      <c r="N19" s="2"/>
      <c r="O19" s="2"/>
      <c r="P19" s="2"/>
    </row>
    <row r="20" spans="3:16" ht="16.5" customHeight="1" x14ac:dyDescent="0.3">
      <c r="C20" s="27" t="s">
        <v>12</v>
      </c>
      <c r="D20" s="156"/>
      <c r="E20" s="27">
        <v>2</v>
      </c>
      <c r="F20" s="160"/>
      <c r="G20" s="27"/>
      <c r="H20" s="67"/>
      <c r="I20" s="67"/>
      <c r="J20" s="2"/>
      <c r="K20" s="2"/>
      <c r="L20" s="2"/>
      <c r="M20" s="2"/>
      <c r="N20" s="2"/>
      <c r="O20" s="2"/>
      <c r="P20" s="2"/>
    </row>
    <row r="21" spans="3:16" ht="16.5" customHeight="1" x14ac:dyDescent="0.3">
      <c r="C21" s="27" t="s">
        <v>13</v>
      </c>
      <c r="D21" s="156"/>
      <c r="E21" s="27">
        <v>7</v>
      </c>
      <c r="F21" s="27">
        <v>5</v>
      </c>
      <c r="G21" s="27">
        <v>1</v>
      </c>
      <c r="H21" s="67"/>
      <c r="I21" s="67"/>
      <c r="J21" s="2"/>
      <c r="K21" s="279"/>
      <c r="L21" s="24"/>
      <c r="M21" s="2"/>
      <c r="N21" s="2"/>
      <c r="O21" s="2"/>
      <c r="P21" s="2"/>
    </row>
    <row r="22" spans="3:16" ht="16.5" customHeight="1" x14ac:dyDescent="0.3">
      <c r="C22" s="27" t="s">
        <v>14</v>
      </c>
      <c r="D22" s="156">
        <f>SUM(E22:G22)</f>
        <v>225940</v>
      </c>
      <c r="E22" s="27">
        <f>E13+E16</f>
        <v>107235</v>
      </c>
      <c r="F22" s="27">
        <f>F13+F16</f>
        <v>98630</v>
      </c>
      <c r="G22" s="27">
        <f>SUM(G13)</f>
        <v>20075</v>
      </c>
      <c r="H22" s="67"/>
      <c r="I22" s="67"/>
      <c r="J22" s="2"/>
      <c r="K22" s="2"/>
      <c r="L22" s="2"/>
      <c r="M22" s="2"/>
      <c r="N22" s="2"/>
      <c r="O22" s="2"/>
      <c r="P22" s="2"/>
    </row>
    <row r="23" spans="3:16" ht="16.5" customHeight="1" x14ac:dyDescent="0.3">
      <c r="C23" s="27" t="s">
        <v>15</v>
      </c>
      <c r="D23" s="157">
        <f>SUM(E23:G23)</f>
        <v>200</v>
      </c>
      <c r="E23" s="158">
        <v>115</v>
      </c>
      <c r="F23" s="158">
        <v>85</v>
      </c>
      <c r="G23" s="158">
        <v>0</v>
      </c>
      <c r="H23" s="67"/>
      <c r="I23" s="67"/>
      <c r="J23" s="2"/>
      <c r="K23" s="2"/>
      <c r="L23" s="2"/>
      <c r="M23" s="2"/>
      <c r="N23" s="2"/>
      <c r="O23" s="2"/>
      <c r="P23" s="2"/>
    </row>
    <row r="24" spans="3:16" ht="16.5" customHeight="1" x14ac:dyDescent="0.3">
      <c r="C24" s="27" t="s">
        <v>16</v>
      </c>
      <c r="D24" s="156"/>
      <c r="E24" s="27">
        <f>SUM(E23*0.33)</f>
        <v>37.950000000000003</v>
      </c>
      <c r="F24" s="27">
        <f>SUM(F23*0.33)</f>
        <v>28.05</v>
      </c>
      <c r="G24" s="27">
        <f>SUM((G22-4000)/1000)*2.5</f>
        <v>40.1875</v>
      </c>
      <c r="H24" s="67"/>
      <c r="I24" s="67"/>
      <c r="J24" s="2"/>
      <c r="K24" s="2"/>
      <c r="L24" s="2"/>
      <c r="M24" s="2"/>
      <c r="N24" s="2"/>
      <c r="O24" s="2"/>
      <c r="P24" s="2"/>
    </row>
    <row r="25" spans="3:16" ht="16.5" customHeight="1" x14ac:dyDescent="0.3">
      <c r="C25" s="27" t="s">
        <v>17</v>
      </c>
      <c r="D25" s="157">
        <f>SUM(E25:G25)</f>
        <v>79</v>
      </c>
      <c r="E25" s="158">
        <v>40</v>
      </c>
      <c r="F25" s="158">
        <v>20</v>
      </c>
      <c r="G25" s="158">
        <v>19</v>
      </c>
      <c r="H25" s="67"/>
      <c r="I25" s="67"/>
      <c r="J25" s="2"/>
      <c r="K25" s="2"/>
      <c r="L25" s="2"/>
      <c r="M25" s="2"/>
      <c r="N25" s="2"/>
      <c r="O25" s="2"/>
      <c r="P25" s="2"/>
    </row>
    <row r="26" spans="3:16" ht="16.5" customHeight="1" x14ac:dyDescent="0.3">
      <c r="C26" s="27" t="s">
        <v>74</v>
      </c>
      <c r="D26" s="159"/>
      <c r="E26" s="27">
        <v>16833</v>
      </c>
      <c r="F26" s="27">
        <v>9888</v>
      </c>
      <c r="G26" s="27" t="s">
        <v>23</v>
      </c>
      <c r="H26" s="67"/>
      <c r="I26" s="67"/>
      <c r="J26" s="2"/>
      <c r="K26" s="2"/>
      <c r="L26" s="2"/>
      <c r="M26" s="2"/>
      <c r="N26" s="2"/>
      <c r="O26" s="2"/>
      <c r="P26" s="2"/>
    </row>
    <row r="27" spans="3:16" ht="16.5" customHeight="1" x14ac:dyDescent="0.3">
      <c r="C27" s="27" t="s">
        <v>73</v>
      </c>
      <c r="D27" s="159"/>
      <c r="E27" s="27" t="s">
        <v>23</v>
      </c>
      <c r="F27" s="27" t="s">
        <v>23</v>
      </c>
      <c r="G27" s="27">
        <v>12120</v>
      </c>
      <c r="H27" s="67"/>
      <c r="I27" s="67"/>
      <c r="J27" s="2"/>
    </row>
    <row r="28" spans="3:16" ht="16.5" customHeight="1" x14ac:dyDescent="0.3">
      <c r="C28" s="28"/>
      <c r="D28" s="159"/>
      <c r="E28" s="161"/>
      <c r="F28" s="161"/>
      <c r="G28" s="161"/>
      <c r="H28" s="68"/>
      <c r="I28" s="67"/>
      <c r="J28" s="2"/>
    </row>
    <row r="29" spans="3:16" ht="16.5" customHeight="1" x14ac:dyDescent="0.3">
      <c r="C29" s="92"/>
      <c r="D29" s="162"/>
      <c r="E29" s="163"/>
      <c r="F29" s="163"/>
      <c r="G29" s="163"/>
      <c r="H29" s="69"/>
      <c r="I29" s="72"/>
      <c r="J29" s="2"/>
    </row>
    <row r="30" spans="3:16" ht="16.5" customHeight="1" x14ac:dyDescent="0.3">
      <c r="C30" s="27" t="s">
        <v>72</v>
      </c>
      <c r="D30" s="165">
        <f>SUM(E22:G22)</f>
        <v>225940</v>
      </c>
      <c r="E30" s="165"/>
      <c r="F30" s="165"/>
      <c r="G30" s="165"/>
      <c r="H30" s="70"/>
      <c r="I30" s="70"/>
      <c r="J30" s="2"/>
    </row>
    <row r="31" spans="3:16" ht="16.5" customHeight="1" x14ac:dyDescent="0.3">
      <c r="C31" s="27" t="s">
        <v>71</v>
      </c>
      <c r="D31" s="165">
        <f>SUM(E23:F23)</f>
        <v>200</v>
      </c>
      <c r="E31" s="165"/>
      <c r="F31" s="165"/>
      <c r="G31" s="165"/>
      <c r="H31" s="70"/>
      <c r="I31" s="70"/>
    </row>
    <row r="32" spans="3:16" ht="16.5" customHeight="1" x14ac:dyDescent="0.3">
      <c r="C32" s="27" t="s">
        <v>18</v>
      </c>
      <c r="D32" s="165">
        <f>SUM(E24:G24)</f>
        <v>106.1875</v>
      </c>
      <c r="E32" s="165"/>
      <c r="F32" s="165"/>
      <c r="G32" s="165"/>
      <c r="H32" s="70"/>
      <c r="I32" s="70"/>
    </row>
    <row r="33" spans="3:9" ht="16.5" customHeight="1" x14ac:dyDescent="0.3">
      <c r="C33" s="27" t="s">
        <v>19</v>
      </c>
      <c r="D33" s="165">
        <f>SUM(E14:G14)</f>
        <v>38585</v>
      </c>
      <c r="E33" s="165"/>
      <c r="F33" s="165"/>
      <c r="G33" s="165"/>
      <c r="H33" s="70"/>
      <c r="I33" s="70"/>
    </row>
    <row r="34" spans="3:9" ht="16.5" customHeight="1" x14ac:dyDescent="0.3">
      <c r="C34" s="27" t="s">
        <v>20</v>
      </c>
      <c r="D34" s="165">
        <f>SUM((E17*E18)+(E19*E20)+(F17*F18))</f>
        <v>152380</v>
      </c>
      <c r="E34" s="165"/>
      <c r="F34" s="165"/>
      <c r="G34" s="165"/>
      <c r="H34" s="70"/>
      <c r="I34" s="70"/>
    </row>
    <row r="35" spans="3:9" ht="16.5" customHeight="1" x14ac:dyDescent="0.3">
      <c r="C35" s="29" t="s">
        <v>21</v>
      </c>
      <c r="D35" s="166">
        <f>SUM(E26+F26+G27)</f>
        <v>38841</v>
      </c>
      <c r="E35" s="166"/>
      <c r="F35" s="166"/>
      <c r="G35" s="166"/>
      <c r="H35" s="73"/>
      <c r="I35" s="73"/>
    </row>
    <row r="36" spans="3:9" ht="16.5" customHeight="1" x14ac:dyDescent="0.3">
      <c r="C36" s="31" t="s">
        <v>66</v>
      </c>
      <c r="D36" s="167">
        <f>SUM(D22/D9)</f>
        <v>2.0091592192432528</v>
      </c>
      <c r="E36" s="167">
        <f>SUM(E22/E9)</f>
        <v>2.938347718865598</v>
      </c>
      <c r="F36" s="167">
        <f>SUM(F22/F9)</f>
        <v>3.3433898305084746</v>
      </c>
      <c r="G36" s="167">
        <f>SUM(G22/G9)</f>
        <v>0.43209212225570381</v>
      </c>
      <c r="H36" s="75"/>
      <c r="I36" s="75"/>
    </row>
    <row r="37" spans="3:9" ht="16.5" customHeight="1" x14ac:dyDescent="0.3">
      <c r="C37" s="27" t="s">
        <v>70</v>
      </c>
      <c r="D37" s="156">
        <f>SUM(E37:G37)</f>
        <v>27125</v>
      </c>
      <c r="E37" s="166">
        <v>8000</v>
      </c>
      <c r="F37" s="166">
        <v>9175</v>
      </c>
      <c r="G37" s="166">
        <v>9950</v>
      </c>
      <c r="H37" s="73"/>
      <c r="I37" s="73"/>
    </row>
    <row r="38" spans="3:9" ht="16.5" customHeight="1" x14ac:dyDescent="0.3">
      <c r="C38" s="27" t="s">
        <v>69</v>
      </c>
      <c r="D38" s="156">
        <f>SUM(E38:G38)</f>
        <v>22120</v>
      </c>
      <c r="E38" s="166">
        <v>4320</v>
      </c>
      <c r="F38" s="166">
        <v>7740</v>
      </c>
      <c r="G38" s="166">
        <v>10060</v>
      </c>
      <c r="H38" s="73"/>
      <c r="I38" s="73"/>
    </row>
    <row r="39" spans="3:9" ht="16.5" customHeight="1" x14ac:dyDescent="0.3">
      <c r="C39" s="27" t="s">
        <v>22</v>
      </c>
      <c r="D39" s="156">
        <f>SUM(E39:G39)</f>
        <v>51875</v>
      </c>
      <c r="E39" s="166">
        <v>22760</v>
      </c>
      <c r="F39" s="166">
        <v>19935</v>
      </c>
      <c r="G39" s="166">
        <v>9180</v>
      </c>
      <c r="H39" s="4"/>
      <c r="I39" s="73"/>
    </row>
    <row r="40" spans="3:9" ht="16.5" customHeight="1" x14ac:dyDescent="0.3">
      <c r="C40" s="32"/>
      <c r="D40" s="164"/>
      <c r="E40" s="168"/>
      <c r="F40" s="168"/>
      <c r="G40" s="168"/>
      <c r="H40" s="3"/>
      <c r="I40" s="3"/>
    </row>
    <row r="41" spans="3:9" ht="16.5" customHeight="1" x14ac:dyDescent="0.3">
      <c r="C41" s="30" t="s">
        <v>67</v>
      </c>
      <c r="D41" s="169">
        <f>SUM(D9/D23)</f>
        <v>562.27499999999998</v>
      </c>
      <c r="E41" s="169">
        <f>SUM(E9/E23)</f>
        <v>317.3478260869565</v>
      </c>
      <c r="F41" s="169">
        <f>SUM(F9/F23)</f>
        <v>347.05882352941177</v>
      </c>
      <c r="G41" s="169"/>
      <c r="H41" s="71"/>
      <c r="I41" s="74"/>
    </row>
  </sheetData>
  <pageMargins left="0.7" right="0.7" top="0.75" bottom="0.75" header="0.3" footer="0.3"/>
  <pageSetup scale="72" fitToWidth="0" orientation="landscape" r:id="rId1"/>
  <headerFooter scaleWithDoc="0">
    <oddHeader>&amp;R&amp;G</oddHeader>
    <oddFooter>&amp;L&amp;G&amp;C&amp;9DRAFT &amp;P&amp;R&amp;9Page&amp;P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</vt:lpstr>
      <vt:lpstr>Sources Uses</vt:lpstr>
      <vt:lpstr>Pro-Forma</vt:lpstr>
      <vt:lpstr>Rent Roll</vt:lpstr>
      <vt:lpstr>Financing</vt:lpstr>
      <vt:lpstr>Site Base Data</vt:lpstr>
      <vt:lpstr>'Sources Uses'!Print_Titles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Haymaker</dc:creator>
  <cp:lastModifiedBy>Terri Haymaker</cp:lastModifiedBy>
  <cp:lastPrinted>2022-09-08T21:02:04Z</cp:lastPrinted>
  <dcterms:created xsi:type="dcterms:W3CDTF">2022-01-20T03:18:49Z</dcterms:created>
  <dcterms:modified xsi:type="dcterms:W3CDTF">2022-09-08T21:02:29Z</dcterms:modified>
</cp:coreProperties>
</file>