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rri\OneDrive - hibernianadvisors.com\RLE Shared File\13-Implementation Plan\05 Proforma\00 CTA Submittal\02 DRAFT for CTA submission 2nd\02 Excel Version\"/>
    </mc:Choice>
  </mc:AlternateContent>
  <xr:revisionPtr revIDLastSave="0" documentId="13_ncr:1_{414DB151-0EFD-437C-80F2-E75C4C53AC34}" xr6:coauthVersionLast="47" xr6:coauthVersionMax="47" xr10:uidLastSave="{00000000-0000-0000-0000-000000000000}"/>
  <bookViews>
    <workbookView xWindow="-27345" yWindow="0" windowWidth="27375" windowHeight="13920" tabRatio="780" xr2:uid="{8A6F8D95-191F-4ABA-8CDC-C224521EF7A7}"/>
  </bookViews>
  <sheets>
    <sheet name="Summary" sheetId="9" r:id="rId1"/>
    <sheet name="Sources Uses" sheetId="2" r:id="rId2"/>
    <sheet name="Site Base Data" sheetId="8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3" i="9" l="1"/>
  <c r="N32" i="9"/>
  <c r="N26" i="9" l="1"/>
  <c r="D26" i="8"/>
  <c r="D22" i="8"/>
  <c r="D34" i="8" s="1"/>
  <c r="F22" i="8"/>
  <c r="F23" i="8" s="1"/>
  <c r="F24" i="8" s="1"/>
  <c r="E16" i="8"/>
  <c r="M26" i="9" s="1"/>
  <c r="F16" i="8"/>
  <c r="E22" i="8"/>
  <c r="E15" i="8"/>
  <c r="F15" i="8"/>
  <c r="D33" i="8" a="1"/>
  <c r="D33" i="8" s="1"/>
  <c r="E23" i="8"/>
  <c r="E24" i="8" s="1"/>
  <c r="D16" i="8" l="1"/>
  <c r="N14" i="9" s="1"/>
  <c r="D30" i="8"/>
  <c r="D23" i="8"/>
  <c r="D39" i="8" s="1"/>
  <c r="H65" i="9"/>
  <c r="H64" i="9"/>
  <c r="H63" i="9"/>
  <c r="H48" i="9"/>
  <c r="H47" i="9"/>
  <c r="H46" i="9"/>
  <c r="N34" i="9" l="1"/>
  <c r="N66" i="9" l="1"/>
  <c r="N49" i="9"/>
  <c r="M47" i="9"/>
  <c r="N22" i="9"/>
  <c r="M22" i="9"/>
  <c r="G17" i="2" l="1"/>
  <c r="Y42" i="2" l="1"/>
  <c r="M48" i="9" l="1"/>
  <c r="N10" i="9" l="1"/>
  <c r="AA11" i="2" l="1"/>
  <c r="S11" i="2"/>
  <c r="N20" i="9" l="1"/>
  <c r="M20" i="9"/>
  <c r="O24" i="2"/>
  <c r="Q24" i="2" s="1"/>
  <c r="O23" i="2"/>
  <c r="Q23" i="2" s="1"/>
  <c r="O22" i="2"/>
  <c r="Q22" i="2" s="1"/>
  <c r="U21" i="2"/>
  <c r="M65" i="9" s="1"/>
  <c r="U22" i="2"/>
  <c r="U23" i="2"/>
  <c r="U24" i="2"/>
  <c r="U20" i="2"/>
  <c r="M64" i="9" s="1"/>
  <c r="W19" i="2"/>
  <c r="O19" i="2"/>
  <c r="C4" i="2"/>
  <c r="C5" i="2"/>
  <c r="C6" i="2"/>
  <c r="I20" i="2"/>
  <c r="U41" i="2"/>
  <c r="M41" i="2"/>
  <c r="Q42" i="2"/>
  <c r="N50" i="9" l="1"/>
  <c r="D6" i="9"/>
  <c r="D5" i="9"/>
  <c r="D4" i="9"/>
  <c r="M24" i="9"/>
  <c r="N24" i="9"/>
  <c r="M21" i="9"/>
  <c r="N21" i="9"/>
  <c r="M25" i="9"/>
  <c r="N13" i="9" s="1"/>
  <c r="N25" i="9"/>
  <c r="I42" i="2"/>
  <c r="W21" i="2"/>
  <c r="O21" i="2"/>
  <c r="Q21" i="2" s="1"/>
  <c r="N12" i="9" l="1"/>
  <c r="G18" i="2"/>
  <c r="G21" i="2"/>
  <c r="G19" i="2"/>
  <c r="Y21" i="2"/>
  <c r="N65" i="9" s="1"/>
  <c r="N48" i="9"/>
  <c r="L48" i="9"/>
  <c r="L65" i="9"/>
  <c r="I21" i="2" l="1"/>
  <c r="N36" i="9" l="1"/>
  <c r="M23" i="9"/>
  <c r="M27" i="9"/>
  <c r="O20" i="2"/>
  <c r="Q20" i="2" s="1"/>
  <c r="N23" i="9"/>
  <c r="N27" i="9"/>
  <c r="W20" i="2"/>
  <c r="Y20" i="2" s="1"/>
  <c r="N11" i="9" l="1"/>
  <c r="N15" i="9"/>
  <c r="Q25" i="2"/>
  <c r="L64" i="9"/>
  <c r="L47" i="9"/>
  <c r="N47" i="9" l="1"/>
  <c r="N64" i="9"/>
  <c r="Q27" i="2" l="1"/>
  <c r="Q34" i="2"/>
  <c r="Q31" i="2"/>
  <c r="Q30" i="2"/>
  <c r="Q28" i="2"/>
  <c r="Q32" i="2"/>
  <c r="Q29" i="2"/>
  <c r="Q33" i="2"/>
  <c r="Q35" i="2" l="1"/>
  <c r="Q36" i="2" s="1"/>
  <c r="Q41" i="2" l="1"/>
  <c r="Q43" i="2"/>
  <c r="Q40" i="2"/>
  <c r="Q44" i="2"/>
  <c r="Q39" i="2"/>
  <c r="N51" i="9"/>
  <c r="Q45" i="2" l="1"/>
  <c r="N52" i="9"/>
  <c r="Q47" i="2" l="1"/>
  <c r="N54" i="9"/>
  <c r="Q55" i="2" l="1"/>
  <c r="I48" i="9" s="1"/>
  <c r="Q54" i="2"/>
  <c r="I47" i="9" s="1"/>
  <c r="Q53" i="2"/>
  <c r="I46" i="9" s="1"/>
  <c r="N56" i="9"/>
  <c r="Q51" i="2" l="1"/>
  <c r="I49" i="9" s="1"/>
  <c r="G24" i="2" l="1"/>
  <c r="I24" i="2" s="1"/>
  <c r="W24" i="2"/>
  <c r="Y24" i="2" s="1"/>
  <c r="W22" i="2"/>
  <c r="Y22" i="2" s="1"/>
  <c r="G22" i="2"/>
  <c r="I22" i="2" s="1"/>
  <c r="G23" i="2"/>
  <c r="I23" i="2" s="1"/>
  <c r="W23" i="2"/>
  <c r="Y23" i="2" s="1"/>
  <c r="Y25" i="2" l="1"/>
  <c r="Y28" i="2" s="1"/>
  <c r="I25" i="2"/>
  <c r="N67" i="9"/>
  <c r="N35" i="9"/>
  <c r="Y27" i="2" l="1"/>
  <c r="Y34" i="2"/>
  <c r="Y33" i="2"/>
  <c r="Y31" i="2"/>
  <c r="Y29" i="2"/>
  <c r="Y30" i="2"/>
  <c r="Y32" i="2"/>
  <c r="I30" i="2"/>
  <c r="I31" i="2"/>
  <c r="I34" i="2"/>
  <c r="I28" i="2"/>
  <c r="I33" i="2"/>
  <c r="I27" i="2"/>
  <c r="I32" i="2"/>
  <c r="I29" i="2"/>
  <c r="Y35" i="2" l="1"/>
  <c r="Y36" i="2" s="1"/>
  <c r="I35" i="2"/>
  <c r="N68" i="9" l="1"/>
  <c r="N37" i="9"/>
  <c r="I36" i="2"/>
  <c r="Y41" i="2"/>
  <c r="Y39" i="2"/>
  <c r="Y44" i="2"/>
  <c r="Y43" i="2"/>
  <c r="N69" i="9"/>
  <c r="Y40" i="2"/>
  <c r="Y45" i="2" l="1"/>
  <c r="I44" i="2"/>
  <c r="I43" i="2"/>
  <c r="I39" i="2"/>
  <c r="I41" i="2"/>
  <c r="I40" i="2"/>
  <c r="I45" i="2" l="1"/>
  <c r="N38" i="9" s="1"/>
  <c r="N71" i="9"/>
  <c r="Y47" i="2"/>
  <c r="I47" i="2" l="1"/>
  <c r="I54" i="2" s="1"/>
  <c r="Y54" i="2"/>
  <c r="I64" i="9" s="1"/>
  <c r="Y53" i="2"/>
  <c r="I63" i="9" s="1"/>
  <c r="N73" i="9"/>
  <c r="Y55" i="2"/>
  <c r="I65" i="9" s="1"/>
  <c r="I55" i="2" l="1"/>
  <c r="N39" i="9"/>
  <c r="I53" i="2"/>
  <c r="Y51" i="2"/>
  <c r="I66" i="9" s="1"/>
  <c r="I51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<sst xmlns="http://schemas.openxmlformats.org/spreadsheetml/2006/main" count="236" uniqueCount="154">
  <si>
    <t>SF</t>
  </si>
  <si>
    <t>Cost/SF</t>
  </si>
  <si>
    <t>Site</t>
  </si>
  <si>
    <t>USES</t>
  </si>
  <si>
    <t>Site Area (SF)</t>
  </si>
  <si>
    <t>Building Footprint SF</t>
  </si>
  <si>
    <t>Ground Floor Commercial SF</t>
  </si>
  <si>
    <t>Ground Floor NSF</t>
  </si>
  <si>
    <t>Resi Upper Floor SF</t>
  </si>
  <si>
    <t>Main Resi Floor Count</t>
  </si>
  <si>
    <t>Adtl. Resi  Floor</t>
  </si>
  <si>
    <t>Adtl. Floor Count</t>
  </si>
  <si>
    <t>Total Floors</t>
  </si>
  <si>
    <t>Building Gross SF</t>
  </si>
  <si>
    <t>Units</t>
  </si>
  <si>
    <t>Parking Need</t>
  </si>
  <si>
    <t>Parking Provided</t>
  </si>
  <si>
    <t>Total Site Parking Need</t>
  </si>
  <si>
    <t>Total GSF Commercial</t>
  </si>
  <si>
    <t>Total GSF Residential</t>
  </si>
  <si>
    <t>Total GSF Parking</t>
  </si>
  <si>
    <t>Roadway Reconstruction GSF</t>
  </si>
  <si>
    <t>TOTAL SOURCES AND USES</t>
  </si>
  <si>
    <t>Cost</t>
  </si>
  <si>
    <t>CONSTRUCTION</t>
  </si>
  <si>
    <t>ACQUISITION</t>
  </si>
  <si>
    <t>FAR</t>
  </si>
  <si>
    <t>Land Area per DU</t>
  </si>
  <si>
    <t>Street Frontage (linear ft)</t>
  </si>
  <si>
    <t>Paving /Access Drive (GSF)</t>
  </si>
  <si>
    <t>Streetscape Area (GSF)</t>
  </si>
  <si>
    <t>Total Site Units (700 SF avg.)</t>
  </si>
  <si>
    <t>Total Development GSF</t>
  </si>
  <si>
    <t>Parking SF Surface Lot</t>
  </si>
  <si>
    <t>Parking SF Structured / Enclosed</t>
  </si>
  <si>
    <t>Uses</t>
  </si>
  <si>
    <t>Parking Spaces</t>
  </si>
  <si>
    <t>Retail SF</t>
  </si>
  <si>
    <t>Catalyst Site</t>
  </si>
  <si>
    <t>Station Area</t>
  </si>
  <si>
    <t>Location</t>
  </si>
  <si>
    <t>Development SF</t>
  </si>
  <si>
    <t>Developer Equity</t>
  </si>
  <si>
    <t>Public Sources</t>
  </si>
  <si>
    <t>Residential SF</t>
  </si>
  <si>
    <t>Building Height (Floors)</t>
  </si>
  <si>
    <t>Construction Costs</t>
  </si>
  <si>
    <t>% Project Costs</t>
  </si>
  <si>
    <t xml:space="preserve">Developer Equity </t>
  </si>
  <si>
    <t>Financing</t>
  </si>
  <si>
    <t>Property Acquisition</t>
  </si>
  <si>
    <t>Environmental - Soil Remediation</t>
  </si>
  <si>
    <t>General Conditions</t>
  </si>
  <si>
    <t>Environmental</t>
  </si>
  <si>
    <t>Site SF</t>
  </si>
  <si>
    <t>Permiting &amp; Fees</t>
  </si>
  <si>
    <t>Development Fee</t>
  </si>
  <si>
    <t>Building Development</t>
  </si>
  <si>
    <t>Contractor's Contingency</t>
  </si>
  <si>
    <t>Overhead &amp; Fee</t>
  </si>
  <si>
    <t>General Liability Insurance</t>
  </si>
  <si>
    <t>Subcontractor Default Insurance</t>
  </si>
  <si>
    <t>Payment &amp; Performance Bond</t>
  </si>
  <si>
    <t>Mentor - Protégé</t>
  </si>
  <si>
    <t>Environmental - Abatement and Demolition</t>
  </si>
  <si>
    <t>PROFESSIONAL SERVICES</t>
  </si>
  <si>
    <t>Legal Fees</t>
  </si>
  <si>
    <t>Builder's Risk Insurance</t>
  </si>
  <si>
    <t xml:space="preserve"> Acquisition</t>
  </si>
  <si>
    <t>Cost/SF
Lump sum
Allowance</t>
  </si>
  <si>
    <t>Potential Public Sources</t>
  </si>
  <si>
    <t>Catalyst Site and Building</t>
  </si>
  <si>
    <t>Building A</t>
  </si>
  <si>
    <t>Building B</t>
  </si>
  <si>
    <t>Building Type</t>
  </si>
  <si>
    <t>Total Residential SF</t>
  </si>
  <si>
    <t>Streetscape Area</t>
  </si>
  <si>
    <t>Paving/Access Drive</t>
  </si>
  <si>
    <t>Roadway Reconstruction</t>
  </si>
  <si>
    <t>Costs are held in Building development budget</t>
  </si>
  <si>
    <t>Architect, Engineers, Consultants *</t>
  </si>
  <si>
    <r>
      <rPr>
        <u/>
        <sz val="11"/>
        <color theme="1"/>
        <rFont val="Arial Narrow"/>
        <family val="2"/>
      </rPr>
      <t xml:space="preserve">* A/E fee %: </t>
    </r>
    <r>
      <rPr>
        <sz val="11"/>
        <color theme="1"/>
        <rFont val="Arial Narrow"/>
        <family val="2"/>
      </rPr>
      <t xml:space="preserve">
Project Costs of $0-$5M, 12.5% 
Project Costs of $5-$10M, 10%
Project Costs of $10-$15M, 7.5%
Project Costs of $15+M, 5%</t>
    </r>
  </si>
  <si>
    <t>Evaluation, testing and oversight during remediation, ESA, Phase I, Phase II, ACM, Lead-based paint, Asbestos</t>
  </si>
  <si>
    <t>Planned Development, Land Acquisition</t>
  </si>
  <si>
    <t>Fee % based on range of total project costs</t>
  </si>
  <si>
    <t>PD, Part II</t>
  </si>
  <si>
    <t>Residential Units</t>
  </si>
  <si>
    <t>Demo &amp; Abatement Costs</t>
  </si>
  <si>
    <t>Acquisition Costs</t>
  </si>
  <si>
    <t>DEVELOPMENT PROGRAM SUMMARY</t>
  </si>
  <si>
    <t>Total Development SF</t>
  </si>
  <si>
    <t>Total Site Pre-Development Costs</t>
  </si>
  <si>
    <t>PROJECT COSTS</t>
  </si>
  <si>
    <t>SITE DEVELOPMENT COSTS</t>
  </si>
  <si>
    <t>TOTAL CONSTRUCTION COSTS</t>
  </si>
  <si>
    <t>PROFESSIONAL SERVICES &amp; FEES</t>
  </si>
  <si>
    <t>Site Development</t>
  </si>
  <si>
    <t>Public Right-of-Way</t>
  </si>
  <si>
    <t>Insurance &amp; Contingency</t>
  </si>
  <si>
    <t>Site Base Data</t>
  </si>
  <si>
    <t>Sources and Uses</t>
  </si>
  <si>
    <t>Tab Reference</t>
  </si>
  <si>
    <t>Site Utilities</t>
  </si>
  <si>
    <t xml:space="preserve"> TIF, DCEO Grants, Federal and State Brownfields grants, if applicable</t>
  </si>
  <si>
    <r>
      <t xml:space="preserve">Construction Costs, </t>
    </r>
    <r>
      <rPr>
        <b/>
        <i/>
        <sz val="11"/>
        <color theme="0"/>
        <rFont val="Arial Narrow"/>
        <family val="2"/>
      </rPr>
      <t>rounded</t>
    </r>
  </si>
  <si>
    <r>
      <t xml:space="preserve">Professional Services, </t>
    </r>
    <r>
      <rPr>
        <b/>
        <i/>
        <sz val="11"/>
        <color theme="0"/>
        <rFont val="Arial Narrow"/>
        <family val="2"/>
      </rPr>
      <t>rounded</t>
    </r>
  </si>
  <si>
    <r>
      <t xml:space="preserve">TOTAL PROJECT SOURCES, </t>
    </r>
    <r>
      <rPr>
        <b/>
        <i/>
        <sz val="12"/>
        <color theme="0"/>
        <rFont val="Arial Narrow"/>
        <family val="2"/>
      </rPr>
      <t>rounded</t>
    </r>
  </si>
  <si>
    <r>
      <t xml:space="preserve">TOTAL PROJECT COSTS, </t>
    </r>
    <r>
      <rPr>
        <b/>
        <i/>
        <sz val="12"/>
        <color theme="0"/>
        <rFont val="Arial Narrow"/>
        <family val="2"/>
      </rPr>
      <t>rounded</t>
    </r>
  </si>
  <si>
    <t>PROJECT SOURCES</t>
  </si>
  <si>
    <t>The Site Development Costs include the costs to create a Pad-Ready site for each Building opportunity within the overall property: land acquisition, demo, environmental, utilities, and related costs</t>
  </si>
  <si>
    <t>Costs are held in Site development budget</t>
  </si>
  <si>
    <t>SF or Unit</t>
  </si>
  <si>
    <t>RESOURCE</t>
  </si>
  <si>
    <t>22-0608 Concept Implementation Area Diagrams.pdf</t>
  </si>
  <si>
    <t>CTA RLE Catalyst Site Concept Data_05-22 For the Proforma.xls</t>
  </si>
  <si>
    <r>
      <t xml:space="preserve">Sub-Total: Construction Costs, </t>
    </r>
    <r>
      <rPr>
        <b/>
        <i/>
        <sz val="11"/>
        <color rgb="FF419977"/>
        <rFont val="Arial Narrow"/>
        <family val="2"/>
      </rPr>
      <t>rounded</t>
    </r>
  </si>
  <si>
    <r>
      <t xml:space="preserve">Sub-Total: Insurance &amp; Contingency, </t>
    </r>
    <r>
      <rPr>
        <b/>
        <i/>
        <sz val="11"/>
        <color rgb="FF419977"/>
        <rFont val="Arial Narrow"/>
        <family val="2"/>
      </rPr>
      <t>rounded</t>
    </r>
  </si>
  <si>
    <t>Professional Services</t>
  </si>
  <si>
    <t xml:space="preserve">Site Prep Construction Costs </t>
  </si>
  <si>
    <t xml:space="preserve">Low Income Housing Tax Credit (LIHTC) 9% 
Chicago Dept of Housing Home Investment Partnerships Porgram (HOME) 
Affordable Requirements Ordinance (ARO) Funds
Illiniois Affordable Housing Tax Credits (Donation Tax Credit) 
DCEO grant
HUD Mortgage Insurance-Rental Program - 221(d)(4)
TIF </t>
  </si>
  <si>
    <t>Partnerships with emerging and minority contractors</t>
  </si>
  <si>
    <t>Allowance</t>
  </si>
  <si>
    <t>Allowance for utility connections</t>
  </si>
  <si>
    <t>Site Pre-Development (Pad Ready)</t>
  </si>
  <si>
    <t>Allowance for disposal of spoils related to foundations if required</t>
  </si>
  <si>
    <t>Owner's Contingency</t>
  </si>
  <si>
    <t>CATALYST SITE DEVELOPMENT SUMMARY</t>
  </si>
  <si>
    <t>Development - Building A</t>
  </si>
  <si>
    <t>Development - Building B</t>
  </si>
  <si>
    <t>Environmental &amp; Utilities</t>
  </si>
  <si>
    <t>Environmental Remediation &amp; Utility Costs</t>
  </si>
  <si>
    <t>Public Right-of-Way Costs</t>
  </si>
  <si>
    <t>Multi-family</t>
  </si>
  <si>
    <t>Project Total Costs</t>
  </si>
  <si>
    <t>Total Project Sources</t>
  </si>
  <si>
    <t>8 Flat</t>
  </si>
  <si>
    <t>-</t>
  </si>
  <si>
    <t>Michigan &amp; 117th</t>
  </si>
  <si>
    <t>Building A - Multi-family</t>
  </si>
  <si>
    <t>MF4</t>
  </si>
  <si>
    <t>TBD</t>
  </si>
  <si>
    <t>Cost to acquire property</t>
  </si>
  <si>
    <t>Michigan</t>
  </si>
  <si>
    <t>Demolition and abatement costs determined by property acquisition.  Foundations of former buildings are considered in site development below.</t>
  </si>
  <si>
    <t>Allowance for remediation of entire site (estimate pending ESAs, UST removal &amp; capping strategy RAP).</t>
  </si>
  <si>
    <t>Allowance for utility disconnections and relocations.</t>
  </si>
  <si>
    <t>Costs are held in Building development budget.</t>
  </si>
  <si>
    <t>Minimal site development scope to create safe, secure Pad-Ready site, earth work &amp; regrading.</t>
  </si>
  <si>
    <t>Minimal paving to create safe, secure Pad-Ready site.</t>
  </si>
  <si>
    <t>Minimal roadway reconstruction to create safe, secure Pad-Ready site.</t>
  </si>
  <si>
    <t>Building B (8 flat)</t>
  </si>
  <si>
    <t>Value to be determined if Master Developer conveys development pad to building developer</t>
  </si>
  <si>
    <t>Mill overlay, restoration, curb &amp; gutter.</t>
  </si>
  <si>
    <t>RED LINE EXTENSION  - IMPLEMENTATION PLAN - CATALYST SITE - DEVELOPMENT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</si>
</sst>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_-;\-&quot;$&quot;* #,##0_-;_-&quot;$&quot;* &quot;-&quot;??_-;_-@_-"/>
    <numFmt numFmtId="165" formatCode="&quot;$&quot;#,##0"/>
    <numFmt numFmtId="166" formatCode="_(* #,##0_);_(* \(#,##0\);_(* &quot;-&quot;??_);_(@_)"/>
    <numFmt numFmtId="167" formatCode="_(&quot;$&quot;* #,##0_);_(&quot;$&quot;* \(#,##0\);_(&quot;$&quot;* &quot;-&quot;??_);_(@_)"/>
    <numFmt numFmtId="168" formatCode="0.0%"/>
    <numFmt numFmtId="169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 Narrow"/>
      <family val="2"/>
    </font>
    <font>
      <b/>
      <sz val="12"/>
      <color theme="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i/>
      <sz val="11"/>
      <color rgb="FF3F6DC1"/>
      <name val="Arial Narrow"/>
      <family val="2"/>
    </font>
    <font>
      <u val="singleAccounting"/>
      <sz val="12"/>
      <name val="Arial Narrow"/>
      <family val="2"/>
    </font>
    <font>
      <b/>
      <sz val="12"/>
      <color rgb="FF000000"/>
      <name val="Arial Narrow"/>
      <family val="2"/>
    </font>
    <font>
      <sz val="10"/>
      <color theme="1"/>
      <name val="Arial Narrow"/>
      <family val="2"/>
    </font>
    <font>
      <sz val="11"/>
      <color rgb="FFFF0000"/>
      <name val="Arial Narrow"/>
      <family val="2"/>
    </font>
    <font>
      <sz val="11"/>
      <color rgb="FF00B050"/>
      <name val="Arial Narrow"/>
      <family val="2"/>
    </font>
    <font>
      <b/>
      <sz val="12"/>
      <color rgb="FF42B071"/>
      <name val="Arial Narrow"/>
      <family val="2"/>
    </font>
    <font>
      <sz val="12"/>
      <color theme="1"/>
      <name val="Arial Narrow"/>
      <family val="2"/>
    </font>
    <font>
      <sz val="10"/>
      <name val="Arial Narrow"/>
      <family val="2"/>
    </font>
    <font>
      <sz val="10"/>
      <color theme="2" tint="-0.499984740745262"/>
      <name val="Arial Narrow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b/>
      <sz val="12"/>
      <color theme="1"/>
      <name val="Arial Narrow"/>
      <family val="2"/>
    </font>
    <font>
      <sz val="14"/>
      <color theme="1"/>
      <name val="Arial Narrow"/>
      <family val="2"/>
    </font>
    <font>
      <sz val="14"/>
      <color theme="0"/>
      <name val="Arial Narrow"/>
      <family val="2"/>
    </font>
    <font>
      <sz val="18"/>
      <name val="Arial Narrow"/>
      <family val="2"/>
    </font>
    <font>
      <b/>
      <sz val="14"/>
      <name val="Arial Narrow"/>
      <family val="2"/>
    </font>
    <font>
      <b/>
      <i/>
      <sz val="11"/>
      <color theme="0"/>
      <name val="Arial Narrow"/>
      <family val="2"/>
    </font>
    <font>
      <b/>
      <i/>
      <sz val="12"/>
      <color theme="0"/>
      <name val="Arial Narrow"/>
      <family val="2"/>
    </font>
    <font>
      <i/>
      <sz val="10"/>
      <name val="Arial Narrow"/>
      <family val="2"/>
    </font>
    <font>
      <b/>
      <sz val="11"/>
      <color rgb="FF419977"/>
      <name val="Arial Narrow"/>
      <family val="2"/>
    </font>
    <font>
      <b/>
      <i/>
      <sz val="11"/>
      <color rgb="FF419977"/>
      <name val="Arial Narrow"/>
      <family val="2"/>
    </font>
    <font>
      <b/>
      <sz val="14"/>
      <color theme="1"/>
      <name val="Arial Narrow"/>
      <family val="2"/>
    </font>
    <font>
      <sz val="14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BFBFB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7A782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423"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0" borderId="0" xfId="0" applyFont="1" applyBorder="1"/>
    <xf numFmtId="0" fontId="5" fillId="0" borderId="0" xfId="0" applyFont="1" applyFill="1" applyBorder="1"/>
    <xf numFmtId="0" fontId="6" fillId="0" borderId="0" xfId="0" applyFont="1" applyBorder="1" applyAlignment="1">
      <alignment vertical="top" wrapText="1"/>
    </xf>
    <xf numFmtId="0" fontId="6" fillId="0" borderId="0" xfId="0" applyFont="1" applyAlignment="1">
      <alignment vertical="top"/>
    </xf>
    <xf numFmtId="42" fontId="6" fillId="0" borderId="0" xfId="0" applyNumberFormat="1" applyFont="1" applyAlignment="1">
      <alignment vertical="top"/>
    </xf>
    <xf numFmtId="42" fontId="7" fillId="0" borderId="0" xfId="0" applyNumberFormat="1" applyFont="1" applyAlignment="1">
      <alignment vertical="top"/>
    </xf>
    <xf numFmtId="165" fontId="6" fillId="0" borderId="0" xfId="0" applyNumberFormat="1" applyFont="1" applyAlignment="1">
      <alignment vertical="top"/>
    </xf>
    <xf numFmtId="0" fontId="5" fillId="0" borderId="0" xfId="0" applyFont="1" applyAlignment="1">
      <alignment vertical="center"/>
    </xf>
    <xf numFmtId="0" fontId="6" fillId="0" borderId="0" xfId="0" applyFont="1" applyFill="1" applyAlignment="1">
      <alignment vertical="top"/>
    </xf>
    <xf numFmtId="42" fontId="6" fillId="0" borderId="0" xfId="0" applyNumberFormat="1" applyFont="1" applyFill="1" applyAlignment="1">
      <alignment vertical="top"/>
    </xf>
    <xf numFmtId="42" fontId="9" fillId="0" borderId="0" xfId="0" applyNumberFormat="1" applyFont="1" applyFill="1" applyAlignment="1">
      <alignment horizontal="left" vertical="top"/>
    </xf>
    <xf numFmtId="42" fontId="9" fillId="0" borderId="0" xfId="0" applyNumberFormat="1" applyFont="1" applyFill="1" applyAlignment="1">
      <alignment vertical="top"/>
    </xf>
    <xf numFmtId="165" fontId="6" fillId="0" borderId="0" xfId="0" applyNumberFormat="1" applyFont="1" applyFill="1" applyAlignment="1">
      <alignment vertical="top"/>
    </xf>
    <xf numFmtId="166" fontId="6" fillId="0" borderId="0" xfId="1" applyNumberFormat="1" applyFont="1" applyFill="1" applyBorder="1" applyAlignment="1">
      <alignment vertical="top"/>
    </xf>
    <xf numFmtId="0" fontId="10" fillId="0" borderId="0" xfId="0" applyFont="1" applyBorder="1"/>
    <xf numFmtId="0" fontId="9" fillId="0" borderId="0" xfId="0" applyFont="1" applyAlignment="1">
      <alignment horizontal="center" vertical="center"/>
    </xf>
    <xf numFmtId="42" fontId="8" fillId="0" borderId="0" xfId="0" applyNumberFormat="1" applyFont="1" applyAlignment="1">
      <alignment horizontal="center" vertical="center"/>
    </xf>
    <xf numFmtId="0" fontId="5" fillId="0" borderId="0" xfId="4" applyFont="1" applyBorder="1"/>
    <xf numFmtId="0" fontId="5" fillId="0" borderId="0" xfId="4" applyFont="1" applyFill="1" applyBorder="1"/>
    <xf numFmtId="167" fontId="5" fillId="0" borderId="0" xfId="2" applyNumberFormat="1" applyFont="1" applyBorder="1"/>
    <xf numFmtId="42" fontId="7" fillId="0" borderId="0" xfId="0" applyNumberFormat="1" applyFont="1" applyFill="1" applyBorder="1" applyAlignment="1">
      <alignment vertical="center"/>
    </xf>
    <xf numFmtId="0" fontId="6" fillId="0" borderId="0" xfId="0" applyFont="1" applyFill="1"/>
    <xf numFmtId="3" fontId="6" fillId="0" borderId="1" xfId="0" applyNumberFormat="1" applyFont="1" applyFill="1" applyBorder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right" vertical="center" wrapText="1"/>
    </xf>
    <xf numFmtId="169" fontId="6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Border="1"/>
    <xf numFmtId="3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169" fontId="5" fillId="0" borderId="0" xfId="0" applyNumberFormat="1" applyFont="1" applyFill="1" applyBorder="1" applyAlignment="1">
      <alignment horizontal="center" vertical="center"/>
    </xf>
    <xf numFmtId="42" fontId="17" fillId="0" borderId="0" xfId="0" applyNumberFormat="1" applyFont="1" applyFill="1" applyAlignment="1">
      <alignment horizontal="left" vertical="top"/>
    </xf>
    <xf numFmtId="0" fontId="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/>
    </xf>
    <xf numFmtId="0" fontId="5" fillId="0" borderId="21" xfId="0" applyFont="1" applyFill="1" applyBorder="1"/>
    <xf numFmtId="0" fontId="9" fillId="0" borderId="21" xfId="0" applyFont="1" applyFill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right" vertical="center" wrapText="1"/>
    </xf>
    <xf numFmtId="166" fontId="6" fillId="0" borderId="0" xfId="1" applyNumberFormat="1" applyFont="1" applyFill="1"/>
    <xf numFmtId="0" fontId="6" fillId="0" borderId="1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15" fillId="0" borderId="0" xfId="0" applyFont="1"/>
    <xf numFmtId="0" fontId="22" fillId="0" borderId="0" xfId="0" applyFont="1" applyAlignment="1">
      <alignment horizontal="center" vertical="center"/>
    </xf>
    <xf numFmtId="0" fontId="10" fillId="0" borderId="0" xfId="0" applyFont="1"/>
    <xf numFmtId="0" fontId="25" fillId="0" borderId="0" xfId="0" applyFont="1" applyFill="1" applyBorder="1" applyAlignment="1">
      <alignment horizontal="center" vertical="center"/>
    </xf>
    <xf numFmtId="0" fontId="26" fillId="0" borderId="0" xfId="0" applyFont="1"/>
    <xf numFmtId="167" fontId="5" fillId="0" borderId="0" xfId="2" applyNumberFormat="1" applyFont="1"/>
    <xf numFmtId="0" fontId="5" fillId="0" borderId="6" xfId="0" applyFont="1" applyFill="1" applyBorder="1"/>
    <xf numFmtId="0" fontId="5" fillId="0" borderId="6" xfId="0" applyFont="1" applyBorder="1"/>
    <xf numFmtId="0" fontId="5" fillId="0" borderId="11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167" fontId="5" fillId="0" borderId="1" xfId="2" applyNumberFormat="1" applyFont="1" applyFill="1" applyBorder="1"/>
    <xf numFmtId="166" fontId="5" fillId="0" borderId="1" xfId="1" applyNumberFormat="1" applyFont="1" applyBorder="1"/>
    <xf numFmtId="167" fontId="5" fillId="0" borderId="1" xfId="2" applyNumberFormat="1" applyFont="1" applyBorder="1"/>
    <xf numFmtId="0" fontId="10" fillId="0" borderId="8" xfId="0" applyFont="1" applyBorder="1"/>
    <xf numFmtId="166" fontId="10" fillId="0" borderId="1" xfId="1" applyNumberFormat="1" applyFont="1" applyBorder="1"/>
    <xf numFmtId="167" fontId="10" fillId="0" borderId="1" xfId="2" applyNumberFormat="1" applyFont="1" applyBorder="1"/>
    <xf numFmtId="167" fontId="10" fillId="0" borderId="7" xfId="2" applyNumberFormat="1" applyFont="1" applyBorder="1"/>
    <xf numFmtId="166" fontId="10" fillId="0" borderId="9" xfId="1" applyNumberFormat="1" applyFont="1" applyBorder="1"/>
    <xf numFmtId="167" fontId="10" fillId="0" borderId="9" xfId="2" applyNumberFormat="1" applyFont="1" applyBorder="1"/>
    <xf numFmtId="166" fontId="10" fillId="0" borderId="0" xfId="1" applyNumberFormat="1" applyFont="1" applyBorder="1"/>
    <xf numFmtId="167" fontId="10" fillId="0" borderId="0" xfId="2" applyNumberFormat="1" applyFont="1" applyBorder="1"/>
    <xf numFmtId="44" fontId="5" fillId="0" borderId="0" xfId="2" applyNumberFormat="1" applyFont="1" applyFill="1" applyBorder="1"/>
    <xf numFmtId="0" fontId="10" fillId="0" borderId="0" xfId="0" applyFont="1" applyFill="1" applyBorder="1"/>
    <xf numFmtId="168" fontId="10" fillId="0" borderId="0" xfId="0" applyNumberFormat="1" applyFont="1" applyFill="1" applyBorder="1"/>
    <xf numFmtId="0" fontId="5" fillId="0" borderId="0" xfId="0" applyFont="1" applyAlignment="1">
      <alignment horizontal="left"/>
    </xf>
    <xf numFmtId="0" fontId="28" fillId="0" borderId="0" xfId="0" applyFont="1" applyFill="1"/>
    <xf numFmtId="0" fontId="7" fillId="0" borderId="0" xfId="0" applyFont="1" applyFill="1"/>
    <xf numFmtId="166" fontId="5" fillId="0" borderId="0" xfId="1" applyNumberFormat="1" applyFont="1"/>
    <xf numFmtId="166" fontId="7" fillId="3" borderId="3" xfId="1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167" fontId="5" fillId="0" borderId="0" xfId="2" applyNumberFormat="1" applyFont="1" applyFill="1"/>
    <xf numFmtId="0" fontId="29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6" fontId="7" fillId="0" borderId="0" xfId="1" applyNumberFormat="1" applyFont="1" applyFill="1" applyBorder="1" applyAlignment="1">
      <alignment horizontal="left" inden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indent="1"/>
    </xf>
    <xf numFmtId="0" fontId="19" fillId="0" borderId="0" xfId="0" applyFont="1" applyFill="1" applyBorder="1" applyAlignment="1">
      <alignment vertical="center"/>
    </xf>
    <xf numFmtId="0" fontId="5" fillId="3" borderId="0" xfId="0" applyFont="1" applyFill="1"/>
    <xf numFmtId="166" fontId="6" fillId="0" borderId="0" xfId="1" applyNumberFormat="1" applyFont="1" applyFill="1" applyAlignment="1"/>
    <xf numFmtId="0" fontId="6" fillId="0" borderId="0" xfId="0" applyFont="1" applyFill="1" applyAlignment="1"/>
    <xf numFmtId="0" fontId="28" fillId="0" borderId="0" xfId="0" applyFont="1" applyFill="1" applyAlignment="1"/>
    <xf numFmtId="167" fontId="5" fillId="5" borderId="7" xfId="2" applyNumberFormat="1" applyFont="1" applyFill="1" applyBorder="1"/>
    <xf numFmtId="167" fontId="10" fillId="5" borderId="7" xfId="2" applyNumberFormat="1" applyFont="1" applyFill="1" applyBorder="1"/>
    <xf numFmtId="166" fontId="5" fillId="5" borderId="1" xfId="1" applyNumberFormat="1" applyFont="1" applyFill="1" applyBorder="1"/>
    <xf numFmtId="167" fontId="5" fillId="5" borderId="1" xfId="2" applyNumberFormat="1" applyFont="1" applyFill="1" applyBorder="1"/>
    <xf numFmtId="167" fontId="10" fillId="5" borderId="10" xfId="2" applyNumberFormat="1" applyFont="1" applyFill="1" applyBorder="1"/>
    <xf numFmtId="0" fontId="5" fillId="6" borderId="0" xfId="0" applyFont="1" applyFill="1"/>
    <xf numFmtId="0" fontId="6" fillId="5" borderId="0" xfId="0" applyFont="1" applyFill="1"/>
    <xf numFmtId="3" fontId="5" fillId="6" borderId="7" xfId="0" applyNumberFormat="1" applyFont="1" applyFill="1" applyBorder="1"/>
    <xf numFmtId="3" fontId="5" fillId="6" borderId="20" xfId="0" applyNumberFormat="1" applyFont="1" applyFill="1" applyBorder="1"/>
    <xf numFmtId="0" fontId="5" fillId="0" borderId="30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0" xfId="0" applyFont="1" applyBorder="1" applyAlignment="1">
      <alignment horizontal="left"/>
    </xf>
    <xf numFmtId="0" fontId="6" fillId="0" borderId="0" xfId="0" applyFont="1" applyFill="1" applyBorder="1" applyAlignment="1"/>
    <xf numFmtId="0" fontId="5" fillId="0" borderId="0" xfId="0" applyFont="1" applyBorder="1" applyAlignment="1">
      <alignment horizontal="center"/>
    </xf>
    <xf numFmtId="0" fontId="27" fillId="0" borderId="0" xfId="0" applyFont="1" applyFill="1" applyAlignment="1">
      <alignment horizontal="left" vertical="center"/>
    </xf>
    <xf numFmtId="0" fontId="20" fillId="0" borderId="0" xfId="0" applyFont="1" applyBorder="1" applyAlignment="1">
      <alignment horizontal="left" vertical="top" wrapText="1"/>
    </xf>
    <xf numFmtId="42" fontId="6" fillId="0" borderId="0" xfId="0" applyNumberFormat="1" applyFont="1" applyFill="1" applyAlignment="1">
      <alignment vertical="center"/>
    </xf>
    <xf numFmtId="42" fontId="6" fillId="0" borderId="0" xfId="0" applyNumberFormat="1" applyFont="1" applyFill="1" applyBorder="1" applyAlignment="1">
      <alignment vertical="top"/>
    </xf>
    <xf numFmtId="0" fontId="10" fillId="0" borderId="0" xfId="0" applyFont="1" applyFill="1" applyBorder="1" applyAlignment="1">
      <alignment horizontal="left"/>
    </xf>
    <xf numFmtId="0" fontId="6" fillId="0" borderId="0" xfId="0" applyFont="1"/>
    <xf numFmtId="0" fontId="11" fillId="0" borderId="0" xfId="0" applyFont="1"/>
    <xf numFmtId="0" fontId="27" fillId="0" borderId="0" xfId="0" applyFont="1" applyFill="1" applyAlignment="1">
      <alignment horizontal="center" vertical="center" wrapText="1"/>
    </xf>
    <xf numFmtId="42" fontId="8" fillId="0" borderId="0" xfId="0" applyNumberFormat="1" applyFont="1" applyFill="1" applyBorder="1" applyAlignment="1">
      <alignment horizontal="center" vertical="center"/>
    </xf>
    <xf numFmtId="42" fontId="6" fillId="0" borderId="0" xfId="0" applyNumberFormat="1" applyFont="1" applyBorder="1" applyAlignment="1">
      <alignment vertical="top"/>
    </xf>
    <xf numFmtId="0" fontId="3" fillId="0" borderId="0" xfId="0" applyFont="1" applyBorder="1" applyAlignment="1">
      <alignment horizontal="left"/>
    </xf>
    <xf numFmtId="1" fontId="3" fillId="0" borderId="0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5" fillId="0" borderId="21" xfId="0" applyFont="1" applyFill="1" applyBorder="1" applyAlignment="1">
      <alignment horizontal="left"/>
    </xf>
    <xf numFmtId="1" fontId="13" fillId="0" borderId="0" xfId="1" applyNumberFormat="1" applyFont="1" applyFill="1" applyBorder="1" applyAlignment="1">
      <alignment horizontal="left"/>
    </xf>
    <xf numFmtId="0" fontId="6" fillId="0" borderId="0" xfId="0" applyFont="1" applyFill="1" applyBorder="1"/>
    <xf numFmtId="0" fontId="11" fillId="0" borderId="0" xfId="0" applyFont="1" applyFill="1"/>
    <xf numFmtId="0" fontId="6" fillId="0" borderId="0" xfId="0" applyFont="1" applyFill="1" applyBorder="1"/>
    <xf numFmtId="1" fontId="20" fillId="0" borderId="0" xfId="1" applyNumberFormat="1" applyFont="1" applyFill="1" applyBorder="1" applyAlignment="1">
      <alignment horizontal="left" wrapText="1"/>
    </xf>
    <xf numFmtId="166" fontId="3" fillId="0" borderId="0" xfId="1" applyNumberFormat="1" applyFont="1" applyFill="1" applyBorder="1" applyAlignment="1">
      <alignment horizontal="left"/>
    </xf>
    <xf numFmtId="1" fontId="32" fillId="0" borderId="0" xfId="1" applyNumberFormat="1" applyFont="1" applyFill="1" applyBorder="1" applyAlignment="1">
      <alignment horizontal="left" wrapText="1"/>
    </xf>
    <xf numFmtId="0" fontId="6" fillId="0" borderId="36" xfId="0" applyFont="1" applyFill="1" applyBorder="1" applyAlignment="1">
      <alignment vertical="top"/>
    </xf>
    <xf numFmtId="164" fontId="8" fillId="0" borderId="36" xfId="2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0" fontId="15" fillId="0" borderId="34" xfId="0" applyFont="1" applyFill="1" applyBorder="1" applyAlignment="1">
      <alignment horizontal="left" wrapText="1"/>
    </xf>
    <xf numFmtId="0" fontId="7" fillId="0" borderId="0" xfId="0" applyFont="1" applyBorder="1" applyAlignment="1">
      <alignment horizontal="center" vertical="top"/>
    </xf>
    <xf numFmtId="0" fontId="15" fillId="0" borderId="34" xfId="0" applyFont="1" applyFill="1" applyBorder="1" applyAlignment="1">
      <alignment horizontal="left"/>
    </xf>
    <xf numFmtId="167" fontId="6" fillId="0" borderId="0" xfId="2" applyNumberFormat="1" applyFont="1" applyFill="1" applyBorder="1" applyAlignment="1">
      <alignment vertical="top"/>
    </xf>
    <xf numFmtId="42" fontId="7" fillId="0" borderId="0" xfId="0" applyNumberFormat="1" applyFont="1" applyFill="1" applyBorder="1" applyAlignment="1">
      <alignment horizontal="left" vertical="top"/>
    </xf>
    <xf numFmtId="42" fontId="6" fillId="0" borderId="0" xfId="0" applyNumberFormat="1" applyFont="1" applyFill="1" applyBorder="1" applyAlignment="1">
      <alignment vertical="center"/>
    </xf>
    <xf numFmtId="42" fontId="6" fillId="0" borderId="0" xfId="0" applyNumberFormat="1" applyFont="1" applyBorder="1" applyAlignment="1">
      <alignment vertical="center"/>
    </xf>
    <xf numFmtId="42" fontId="20" fillId="0" borderId="34" xfId="0" applyNumberFormat="1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wrapText="1"/>
    </xf>
    <xf numFmtId="42" fontId="7" fillId="0" borderId="0" xfId="0" applyNumberFormat="1" applyFont="1" applyBorder="1" applyAlignment="1">
      <alignment vertical="center"/>
    </xf>
    <xf numFmtId="42" fontId="7" fillId="0" borderId="30" xfId="0" applyNumberFormat="1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" fontId="6" fillId="0" borderId="0" xfId="1" applyNumberFormat="1" applyFont="1" applyFill="1" applyBorder="1" applyAlignment="1">
      <alignment horizontal="left" wrapText="1"/>
    </xf>
    <xf numFmtId="3" fontId="6" fillId="0" borderId="0" xfId="0" applyNumberFormat="1" applyFont="1" applyFill="1" applyBorder="1" applyAlignment="1">
      <alignment horizontal="left" wrapText="1"/>
    </xf>
    <xf numFmtId="0" fontId="15" fillId="0" borderId="27" xfId="0" applyFont="1" applyFill="1" applyBorder="1"/>
    <xf numFmtId="0" fontId="15" fillId="0" borderId="34" xfId="0" applyFont="1" applyFill="1" applyBorder="1"/>
    <xf numFmtId="0" fontId="20" fillId="0" borderId="34" xfId="0" applyFont="1" applyFill="1" applyBorder="1"/>
    <xf numFmtId="0" fontId="15" fillId="0" borderId="34" xfId="0" applyFont="1" applyFill="1" applyBorder="1" applyAlignment="1">
      <alignment vertical="center"/>
    </xf>
    <xf numFmtId="0" fontId="15" fillId="0" borderId="34" xfId="0" applyFont="1" applyBorder="1"/>
    <xf numFmtId="0" fontId="5" fillId="0" borderId="30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0" fillId="0" borderId="30" xfId="0" applyFont="1" applyBorder="1" applyAlignment="1">
      <alignment horizontal="left" vertical="top" wrapText="1"/>
    </xf>
    <xf numFmtId="0" fontId="15" fillId="0" borderId="34" xfId="0" applyFont="1" applyBorder="1" applyAlignment="1">
      <alignment vertical="center"/>
    </xf>
    <xf numFmtId="0" fontId="6" fillId="0" borderId="12" xfId="0" applyFont="1" applyBorder="1" applyAlignment="1">
      <alignment vertical="top"/>
    </xf>
    <xf numFmtId="0" fontId="6" fillId="0" borderId="22" xfId="0" applyFont="1" applyBorder="1" applyAlignment="1">
      <alignment vertical="top"/>
    </xf>
    <xf numFmtId="42" fontId="6" fillId="0" borderId="22" xfId="0" applyNumberFormat="1" applyFont="1" applyBorder="1" applyAlignment="1">
      <alignment vertical="top"/>
    </xf>
    <xf numFmtId="0" fontId="5" fillId="0" borderId="12" xfId="0" applyFont="1" applyFill="1" applyBorder="1"/>
    <xf numFmtId="0" fontId="5" fillId="0" borderId="22" xfId="0" applyFont="1" applyFill="1" applyBorder="1"/>
    <xf numFmtId="0" fontId="5" fillId="0" borderId="22" xfId="0" applyFont="1" applyBorder="1"/>
    <xf numFmtId="0" fontId="5" fillId="0" borderId="12" xfId="0" applyFont="1" applyBorder="1"/>
    <xf numFmtId="0" fontId="15" fillId="0" borderId="13" xfId="0" applyFont="1" applyBorder="1"/>
    <xf numFmtId="0" fontId="15" fillId="0" borderId="39" xfId="0" applyFont="1" applyBorder="1"/>
    <xf numFmtId="167" fontId="5" fillId="0" borderId="0" xfId="2" applyNumberFormat="1" applyFont="1" applyFill="1" applyBorder="1"/>
    <xf numFmtId="0" fontId="20" fillId="0" borderId="31" xfId="0" applyFont="1" applyFill="1" applyBorder="1" applyAlignment="1">
      <alignment horizontal="left" vertical="top" wrapText="1"/>
    </xf>
    <xf numFmtId="0" fontId="10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2" fontId="10" fillId="0" borderId="0" xfId="0" applyNumberFormat="1" applyFont="1" applyFill="1" applyBorder="1"/>
    <xf numFmtId="3" fontId="10" fillId="0" borderId="0" xfId="0" applyNumberFormat="1" applyFont="1" applyFill="1" applyBorder="1"/>
    <xf numFmtId="42" fontId="5" fillId="5" borderId="14" xfId="0" applyNumberFormat="1" applyFont="1" applyFill="1" applyBorder="1"/>
    <xf numFmtId="0" fontId="5" fillId="0" borderId="0" xfId="4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164" fontId="23" fillId="0" borderId="27" xfId="2" applyNumberFormat="1" applyFont="1" applyFill="1" applyBorder="1" applyAlignment="1">
      <alignment horizontal="left" vertical="center" wrapText="1"/>
    </xf>
    <xf numFmtId="0" fontId="20" fillId="0" borderId="34" xfId="0" applyFont="1" applyBorder="1" applyAlignment="1">
      <alignment horizontal="left" vertical="top" wrapText="1"/>
    </xf>
    <xf numFmtId="0" fontId="20" fillId="0" borderId="13" xfId="0" applyFont="1" applyBorder="1" applyAlignment="1">
      <alignment horizontal="left" vertical="top" wrapText="1"/>
    </xf>
    <xf numFmtId="0" fontId="20" fillId="0" borderId="39" xfId="0" applyFont="1" applyBorder="1" applyAlignment="1">
      <alignment horizontal="left" vertical="top" wrapText="1"/>
    </xf>
    <xf numFmtId="0" fontId="15" fillId="0" borderId="34" xfId="0" applyFont="1" applyBorder="1" applyAlignment="1">
      <alignment horizontal="left" wrapText="1"/>
    </xf>
    <xf numFmtId="42" fontId="20" fillId="0" borderId="34" xfId="0" applyNumberFormat="1" applyFont="1" applyBorder="1" applyAlignment="1">
      <alignment horizontal="left" vertical="top" wrapText="1"/>
    </xf>
    <xf numFmtId="42" fontId="20" fillId="0" borderId="34" xfId="0" applyNumberFormat="1" applyFont="1" applyFill="1" applyBorder="1" applyAlignment="1">
      <alignment horizontal="left" vertical="top" wrapText="1"/>
    </xf>
    <xf numFmtId="42" fontId="20" fillId="0" borderId="39" xfId="0" applyNumberFormat="1" applyFont="1" applyBorder="1" applyAlignment="1">
      <alignment horizontal="left" vertical="top" wrapText="1"/>
    </xf>
    <xf numFmtId="42" fontId="24" fillId="0" borderId="34" xfId="0" applyNumberFormat="1" applyFont="1" applyBorder="1" applyAlignment="1">
      <alignment horizontal="left" vertical="center" wrapText="1"/>
    </xf>
    <xf numFmtId="42" fontId="20" fillId="0" borderId="0" xfId="0" applyNumberFormat="1" applyFont="1" applyAlignment="1">
      <alignment horizontal="left" vertical="top" wrapText="1"/>
    </xf>
    <xf numFmtId="42" fontId="24" fillId="0" borderId="0" xfId="0" applyNumberFormat="1" applyFont="1" applyAlignment="1">
      <alignment horizontal="left" vertical="top" wrapText="1"/>
    </xf>
    <xf numFmtId="42" fontId="23" fillId="0" borderId="0" xfId="0" applyNumberFormat="1" applyFont="1" applyAlignment="1">
      <alignment horizontal="left" vertical="center" wrapText="1"/>
    </xf>
    <xf numFmtId="165" fontId="20" fillId="0" borderId="0" xfId="0" applyNumberFormat="1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15" fillId="0" borderId="0" xfId="0" applyFont="1" applyAlignment="1">
      <alignment horizontal="left" wrapText="1"/>
    </xf>
    <xf numFmtId="0" fontId="5" fillId="0" borderId="0" xfId="0" applyFont="1" applyFill="1" applyAlignment="1"/>
    <xf numFmtId="0" fontId="25" fillId="0" borderId="0" xfId="0" applyFont="1" applyFill="1" applyBorder="1" applyAlignment="1">
      <alignment horizontal="center"/>
    </xf>
    <xf numFmtId="0" fontId="5" fillId="0" borderId="0" xfId="4" applyFont="1" applyFill="1" applyBorder="1" applyAlignment="1"/>
    <xf numFmtId="0" fontId="5" fillId="0" borderId="0" xfId="4" applyFont="1" applyBorder="1" applyAlignment="1"/>
    <xf numFmtId="0" fontId="6" fillId="0" borderId="36" xfId="0" applyFont="1" applyFill="1" applyBorder="1" applyAlignment="1"/>
    <xf numFmtId="42" fontId="6" fillId="0" borderId="0" xfId="0" applyNumberFormat="1" applyFont="1" applyFill="1" applyBorder="1" applyAlignment="1"/>
    <xf numFmtId="42" fontId="9" fillId="0" borderId="0" xfId="0" applyNumberFormat="1" applyFont="1" applyFill="1" applyBorder="1" applyAlignment="1">
      <alignment horizontal="left"/>
    </xf>
    <xf numFmtId="42" fontId="6" fillId="0" borderId="12" xfId="0" applyNumberFormat="1" applyFont="1" applyFill="1" applyBorder="1" applyAlignment="1"/>
    <xf numFmtId="42" fontId="6" fillId="0" borderId="22" xfId="0" applyNumberFormat="1" applyFont="1" applyFill="1" applyBorder="1" applyAlignment="1"/>
    <xf numFmtId="42" fontId="6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167" fontId="6" fillId="0" borderId="0" xfId="2" applyNumberFormat="1" applyFont="1" applyFill="1" applyBorder="1" applyAlignment="1"/>
    <xf numFmtId="42" fontId="7" fillId="0" borderId="0" xfId="0" applyNumberFormat="1" applyFont="1" applyFill="1" applyBorder="1" applyAlignment="1">
      <alignment horizontal="left"/>
    </xf>
    <xf numFmtId="42" fontId="7" fillId="0" borderId="0" xfId="0" applyNumberFormat="1" applyFont="1" applyFill="1" applyBorder="1" applyAlignment="1"/>
    <xf numFmtId="42" fontId="7" fillId="0" borderId="22" xfId="0" applyNumberFormat="1" applyFont="1" applyFill="1" applyBorder="1" applyAlignment="1">
      <alignment horizontal="center"/>
    </xf>
    <xf numFmtId="42" fontId="6" fillId="0" borderId="30" xfId="0" applyNumberFormat="1" applyFont="1" applyFill="1" applyBorder="1" applyAlignment="1"/>
    <xf numFmtId="165" fontId="6" fillId="0" borderId="0" xfId="0" applyNumberFormat="1" applyFont="1" applyFill="1" applyAlignment="1"/>
    <xf numFmtId="0" fontId="9" fillId="0" borderId="0" xfId="0" applyFont="1" applyFill="1" applyAlignment="1">
      <alignment horizontal="center"/>
    </xf>
    <xf numFmtId="0" fontId="5" fillId="0" borderId="12" xfId="0" applyFont="1" applyFill="1" applyBorder="1" applyAlignment="1"/>
    <xf numFmtId="0" fontId="5" fillId="0" borderId="22" xfId="0" applyFont="1" applyFill="1" applyBorder="1" applyAlignment="1"/>
    <xf numFmtId="42" fontId="6" fillId="0" borderId="22" xfId="0" applyNumberFormat="1" applyFont="1" applyFill="1" applyBorder="1" applyAlignment="1">
      <alignment horizontal="left"/>
    </xf>
    <xf numFmtId="42" fontId="6" fillId="0" borderId="2" xfId="0" applyNumberFormat="1" applyFont="1" applyFill="1" applyBorder="1" applyAlignment="1">
      <alignment horizontal="left"/>
    </xf>
    <xf numFmtId="4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32" xfId="0" applyFont="1" applyFill="1" applyBorder="1" applyAlignment="1"/>
    <xf numFmtId="0" fontId="5" fillId="0" borderId="37" xfId="0" applyFont="1" applyFill="1" applyBorder="1" applyAlignment="1"/>
    <xf numFmtId="0" fontId="5" fillId="0" borderId="11" xfId="0" applyFont="1" applyFill="1" applyBorder="1" applyAlignment="1"/>
    <xf numFmtId="0" fontId="5" fillId="0" borderId="38" xfId="0" applyFont="1" applyFill="1" applyBorder="1" applyAlignment="1"/>
    <xf numFmtId="42" fontId="6" fillId="0" borderId="37" xfId="0" applyNumberFormat="1" applyFont="1" applyFill="1" applyBorder="1" applyAlignment="1"/>
    <xf numFmtId="166" fontId="6" fillId="0" borderId="37" xfId="1" applyNumberFormat="1" applyFont="1" applyFill="1" applyBorder="1" applyAlignment="1"/>
    <xf numFmtId="167" fontId="6" fillId="0" borderId="37" xfId="2" quotePrefix="1" applyNumberFormat="1" applyFont="1" applyFill="1" applyBorder="1" applyAlignment="1"/>
    <xf numFmtId="168" fontId="5" fillId="0" borderId="37" xfId="0" applyNumberFormat="1" applyFont="1" applyFill="1" applyBorder="1" applyAlignment="1"/>
    <xf numFmtId="168" fontId="6" fillId="0" borderId="23" xfId="0" applyNumberFormat="1" applyFont="1" applyFill="1" applyBorder="1" applyAlignment="1"/>
    <xf numFmtId="167" fontId="6" fillId="0" borderId="37" xfId="2" applyNumberFormat="1" applyFont="1" applyFill="1" applyBorder="1" applyAlignment="1"/>
    <xf numFmtId="42" fontId="8" fillId="0" borderId="37" xfId="0" applyNumberFormat="1" applyFont="1" applyFill="1" applyBorder="1" applyAlignment="1">
      <alignment horizontal="center"/>
    </xf>
    <xf numFmtId="167" fontId="5" fillId="0" borderId="37" xfId="0" applyNumberFormat="1" applyFont="1" applyFill="1" applyBorder="1" applyAlignment="1"/>
    <xf numFmtId="42" fontId="8" fillId="0" borderId="38" xfId="0" applyNumberFormat="1" applyFont="1" applyFill="1" applyBorder="1" applyAlignment="1">
      <alignment horizontal="center"/>
    </xf>
    <xf numFmtId="0" fontId="7" fillId="0" borderId="36" xfId="0" applyFont="1" applyFill="1" applyBorder="1" applyAlignment="1"/>
    <xf numFmtId="166" fontId="6" fillId="0" borderId="36" xfId="1" applyNumberFormat="1" applyFont="1" applyFill="1" applyBorder="1" applyAlignment="1"/>
    <xf numFmtId="166" fontId="6" fillId="0" borderId="0" xfId="1" applyNumberFormat="1" applyFont="1" applyFill="1" applyBorder="1" applyAlignment="1"/>
    <xf numFmtId="166" fontId="6" fillId="6" borderId="0" xfId="1" applyNumberFormat="1" applyFont="1" applyFill="1" applyBorder="1" applyAlignment="1"/>
    <xf numFmtId="168" fontId="5" fillId="0" borderId="0" xfId="0" applyNumberFormat="1" applyFont="1" applyFill="1" applyBorder="1" applyAlignment="1"/>
    <xf numFmtId="0" fontId="16" fillId="0" borderId="0" xfId="0" applyFont="1" applyFill="1" applyBorder="1" applyAlignment="1"/>
    <xf numFmtId="168" fontId="16" fillId="0" borderId="0" xfId="0" applyNumberFormat="1" applyFont="1" applyFill="1" applyBorder="1" applyAlignment="1"/>
    <xf numFmtId="0" fontId="5" fillId="0" borderId="0" xfId="0" applyFont="1" applyBorder="1" applyAlignment="1"/>
    <xf numFmtId="0" fontId="5" fillId="0" borderId="12" xfId="0" applyFont="1" applyBorder="1" applyAlignment="1"/>
    <xf numFmtId="42" fontId="8" fillId="0" borderId="22" xfId="0" applyNumberFormat="1" applyFont="1" applyFill="1" applyBorder="1" applyAlignment="1">
      <alignment horizontal="center"/>
    </xf>
    <xf numFmtId="166" fontId="8" fillId="0" borderId="22" xfId="1" applyNumberFormat="1" applyFont="1" applyFill="1" applyBorder="1" applyAlignment="1">
      <alignment horizontal="center"/>
    </xf>
    <xf numFmtId="166" fontId="6" fillId="0" borderId="30" xfId="1" applyNumberFormat="1" applyFont="1" applyFill="1" applyBorder="1" applyAlignment="1"/>
    <xf numFmtId="0" fontId="5" fillId="0" borderId="0" xfId="0" applyFont="1" applyAlignment="1"/>
    <xf numFmtId="0" fontId="9" fillId="0" borderId="0" xfId="0" applyFont="1" applyAlignment="1">
      <alignment horizontal="center"/>
    </xf>
    <xf numFmtId="0" fontId="7" fillId="0" borderId="0" xfId="0" applyFont="1" applyFill="1" applyBorder="1" applyAlignment="1"/>
    <xf numFmtId="42" fontId="8" fillId="0" borderId="0" xfId="0" applyNumberFormat="1" applyFont="1" applyFill="1" applyBorder="1" applyAlignment="1">
      <alignment horizontal="center"/>
    </xf>
    <xf numFmtId="166" fontId="8" fillId="0" borderId="0" xfId="1" applyNumberFormat="1" applyFont="1" applyFill="1" applyBorder="1" applyAlignment="1">
      <alignment horizontal="center"/>
    </xf>
    <xf numFmtId="0" fontId="10" fillId="0" borderId="0" xfId="0" applyFont="1" applyAlignment="1"/>
    <xf numFmtId="0" fontId="6" fillId="0" borderId="32" xfId="0" applyFont="1" applyFill="1" applyBorder="1" applyAlignment="1"/>
    <xf numFmtId="42" fontId="9" fillId="0" borderId="37" xfId="0" applyNumberFormat="1" applyFont="1" applyFill="1" applyBorder="1" applyAlignment="1">
      <alignment horizontal="left"/>
    </xf>
    <xf numFmtId="166" fontId="9" fillId="0" borderId="0" xfId="1" applyNumberFormat="1" applyFont="1" applyFill="1" applyBorder="1" applyAlignment="1">
      <alignment horizontal="left"/>
    </xf>
    <xf numFmtId="42" fontId="6" fillId="0" borderId="11" xfId="0" applyNumberFormat="1" applyFont="1" applyFill="1" applyBorder="1" applyAlignment="1"/>
    <xf numFmtId="166" fontId="6" fillId="0" borderId="12" xfId="1" applyNumberFormat="1" applyFont="1" applyFill="1" applyBorder="1" applyAlignment="1"/>
    <xf numFmtId="42" fontId="6" fillId="0" borderId="38" xfId="0" applyNumberFormat="1" applyFont="1" applyFill="1" applyBorder="1" applyAlignment="1"/>
    <xf numFmtId="166" fontId="6" fillId="0" borderId="22" xfId="1" applyNumberFormat="1" applyFont="1" applyFill="1" applyBorder="1" applyAlignment="1"/>
    <xf numFmtId="42" fontId="17" fillId="0" borderId="37" xfId="0" applyNumberFormat="1" applyFont="1" applyFill="1" applyBorder="1" applyAlignment="1">
      <alignment horizontal="left"/>
    </xf>
    <xf numFmtId="42" fontId="17" fillId="0" borderId="0" xfId="0" applyNumberFormat="1" applyFont="1" applyFill="1" applyBorder="1" applyAlignment="1">
      <alignment horizontal="left"/>
    </xf>
    <xf numFmtId="166" fontId="17" fillId="0" borderId="0" xfId="1" applyNumberFormat="1" applyFont="1" applyFill="1" applyBorder="1" applyAlignment="1">
      <alignment horizontal="left"/>
    </xf>
    <xf numFmtId="166" fontId="5" fillId="0" borderId="0" xfId="1" applyNumberFormat="1" applyFont="1" applyFill="1" applyBorder="1" applyAlignment="1"/>
    <xf numFmtId="168" fontId="6" fillId="0" borderId="37" xfId="3" applyNumberFormat="1" applyFont="1" applyFill="1" applyBorder="1" applyAlignment="1"/>
    <xf numFmtId="168" fontId="6" fillId="0" borderId="37" xfId="3" applyNumberFormat="1" applyFont="1" applyFill="1" applyBorder="1" applyAlignment="1">
      <alignment horizontal="right"/>
    </xf>
    <xf numFmtId="168" fontId="9" fillId="0" borderId="37" xfId="0" applyNumberFormat="1" applyFont="1" applyFill="1" applyBorder="1" applyAlignment="1">
      <alignment horizontal="left"/>
    </xf>
    <xf numFmtId="168" fontId="6" fillId="0" borderId="37" xfId="0" applyNumberFormat="1" applyFont="1" applyFill="1" applyBorder="1" applyAlignment="1"/>
    <xf numFmtId="10" fontId="9" fillId="0" borderId="37" xfId="0" applyNumberFormat="1" applyFont="1" applyFill="1" applyBorder="1" applyAlignment="1"/>
    <xf numFmtId="42" fontId="9" fillId="0" borderId="0" xfId="0" applyNumberFormat="1" applyFont="1" applyFill="1" applyBorder="1" applyAlignment="1"/>
    <xf numFmtId="166" fontId="9" fillId="0" borderId="0" xfId="1" applyNumberFormat="1" applyFont="1" applyFill="1" applyBorder="1" applyAlignment="1"/>
    <xf numFmtId="42" fontId="7" fillId="0" borderId="37" xfId="0" applyNumberFormat="1" applyFont="1" applyFill="1" applyBorder="1" applyAlignment="1"/>
    <xf numFmtId="166" fontId="7" fillId="0" borderId="0" xfId="1" applyNumberFormat="1" applyFont="1" applyFill="1" applyBorder="1" applyAlignment="1"/>
    <xf numFmtId="9" fontId="6" fillId="0" borderId="37" xfId="3" applyFont="1" applyFill="1" applyBorder="1" applyAlignment="1"/>
    <xf numFmtId="9" fontId="6" fillId="0" borderId="35" xfId="3" applyFont="1" applyFill="1" applyBorder="1" applyAlignment="1"/>
    <xf numFmtId="166" fontId="5" fillId="0" borderId="0" xfId="1" applyNumberFormat="1" applyFont="1" applyFill="1" applyAlignment="1"/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left"/>
    </xf>
    <xf numFmtId="0" fontId="33" fillId="0" borderId="0" xfId="0" applyFont="1" applyAlignment="1"/>
    <xf numFmtId="0" fontId="6" fillId="0" borderId="0" xfId="0" applyFont="1" applyAlignment="1">
      <alignment horizontal="right"/>
    </xf>
    <xf numFmtId="0" fontId="8" fillId="7" borderId="0" xfId="0" applyFont="1" applyFill="1" applyAlignment="1">
      <alignment horizontal="left"/>
    </xf>
    <xf numFmtId="0" fontId="12" fillId="0" borderId="0" xfId="0" applyFont="1" applyAlignment="1"/>
    <xf numFmtId="0" fontId="6" fillId="0" borderId="0" xfId="0" applyFont="1" applyFill="1" applyAlignment="1">
      <alignment horizontal="right"/>
    </xf>
    <xf numFmtId="0" fontId="33" fillId="0" borderId="0" xfId="0" applyFont="1" applyFill="1" applyAlignment="1">
      <alignment horizontal="right"/>
    </xf>
    <xf numFmtId="0" fontId="18" fillId="0" borderId="0" xfId="0" applyFont="1" applyAlignment="1"/>
    <xf numFmtId="0" fontId="4" fillId="0" borderId="0" xfId="0" applyFont="1" applyFill="1" applyBorder="1" applyAlignment="1">
      <alignment horizontal="left"/>
    </xf>
    <xf numFmtId="0" fontId="6" fillId="0" borderId="0" xfId="0" applyFont="1" applyAlignment="1"/>
    <xf numFmtId="0" fontId="6" fillId="0" borderId="0" xfId="0" applyFont="1" applyFill="1" applyBorder="1"/>
    <xf numFmtId="0" fontId="15" fillId="0" borderId="34" xfId="0" applyFont="1" applyFill="1" applyBorder="1" applyAlignment="1">
      <alignment wrapText="1"/>
    </xf>
    <xf numFmtId="0" fontId="15" fillId="0" borderId="0" xfId="0" applyFont="1" applyFill="1" applyAlignment="1">
      <alignment wrapText="1"/>
    </xf>
    <xf numFmtId="0" fontId="25" fillId="0" borderId="0" xfId="0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wrapText="1"/>
    </xf>
    <xf numFmtId="0" fontId="15" fillId="0" borderId="27" xfId="0" applyFont="1" applyFill="1" applyBorder="1" applyAlignment="1">
      <alignment wrapText="1"/>
    </xf>
    <xf numFmtId="0" fontId="15" fillId="0" borderId="13" xfId="0" applyFont="1" applyFill="1" applyBorder="1" applyAlignment="1">
      <alignment wrapText="1"/>
    </xf>
    <xf numFmtId="0" fontId="15" fillId="0" borderId="39" xfId="0" applyFont="1" applyFill="1" applyBorder="1" applyAlignment="1">
      <alignment wrapText="1"/>
    </xf>
    <xf numFmtId="0" fontId="20" fillId="0" borderId="34" xfId="0" applyFont="1" applyFill="1" applyBorder="1" applyAlignment="1">
      <alignment wrapText="1"/>
    </xf>
    <xf numFmtId="0" fontId="15" fillId="0" borderId="34" xfId="0" applyFont="1" applyFill="1" applyBorder="1" applyAlignment="1">
      <alignment vertical="center" wrapText="1"/>
    </xf>
    <xf numFmtId="0" fontId="15" fillId="0" borderId="34" xfId="0" applyFont="1" applyBorder="1" applyAlignment="1">
      <alignment wrapText="1"/>
    </xf>
    <xf numFmtId="0" fontId="21" fillId="0" borderId="34" xfId="0" applyFont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horizontal="left" vertical="center"/>
    </xf>
    <xf numFmtId="0" fontId="26" fillId="3" borderId="16" xfId="0" applyFont="1" applyFill="1" applyBorder="1" applyAlignment="1">
      <alignment vertical="center"/>
    </xf>
    <xf numFmtId="0" fontId="35" fillId="3" borderId="15" xfId="0" applyFont="1" applyFill="1" applyBorder="1" applyAlignment="1">
      <alignment vertical="center"/>
    </xf>
    <xf numFmtId="0" fontId="26" fillId="0" borderId="0" xfId="4" applyFont="1" applyFill="1" applyBorder="1"/>
    <xf numFmtId="0" fontId="20" fillId="3" borderId="17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166" fontId="6" fillId="6" borderId="1" xfId="1" applyNumberFormat="1" applyFont="1" applyFill="1" applyBorder="1" applyAlignment="1"/>
    <xf numFmtId="166" fontId="6" fillId="6" borderId="40" xfId="1" applyNumberFormat="1" applyFont="1" applyFill="1" applyBorder="1" applyAlignment="1"/>
    <xf numFmtId="166" fontId="6" fillId="6" borderId="41" xfId="1" applyNumberFormat="1" applyFont="1" applyFill="1" applyBorder="1" applyAlignment="1"/>
    <xf numFmtId="166" fontId="6" fillId="6" borderId="19" xfId="1" applyNumberFormat="1" applyFont="1" applyFill="1" applyBorder="1" applyAlignment="1"/>
    <xf numFmtId="166" fontId="5" fillId="0" borderId="1" xfId="1" applyNumberFormat="1" applyFont="1" applyFill="1" applyBorder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/>
    <xf numFmtId="166" fontId="0" fillId="0" borderId="1" xfId="1" applyNumberFormat="1" applyFont="1" applyFill="1" applyBorder="1" applyAlignment="1">
      <alignment vertical="center"/>
    </xf>
    <xf numFmtId="0" fontId="0" fillId="0" borderId="1" xfId="0" applyBorder="1"/>
    <xf numFmtId="3" fontId="5" fillId="0" borderId="0" xfId="0" applyNumberFormat="1" applyFont="1" applyFill="1" applyBorder="1"/>
    <xf numFmtId="0" fontId="5" fillId="0" borderId="0" xfId="0" applyFont="1" applyBorder="1" applyAlignment="1">
      <alignment horizontal="left"/>
    </xf>
    <xf numFmtId="0" fontId="9" fillId="0" borderId="0" xfId="0" applyFont="1" applyBorder="1" applyAlignment="1">
      <alignment horizontal="center" vertical="center"/>
    </xf>
    <xf numFmtId="0" fontId="15" fillId="0" borderId="22" xfId="0" applyFont="1" applyFill="1" applyBorder="1"/>
    <xf numFmtId="0" fontId="14" fillId="4" borderId="0" xfId="0" applyFont="1" applyFill="1" applyBorder="1" applyAlignment="1">
      <alignment horizontal="left" vertical="center"/>
    </xf>
    <xf numFmtId="0" fontId="10" fillId="2" borderId="16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9" fontId="5" fillId="0" borderId="1" xfId="0" applyNumberFormat="1" applyFont="1" applyBorder="1"/>
    <xf numFmtId="0" fontId="5" fillId="0" borderId="42" xfId="0" applyFont="1" applyBorder="1"/>
    <xf numFmtId="9" fontId="5" fillId="0" borderId="40" xfId="0" applyNumberFormat="1" applyFont="1" applyBorder="1"/>
    <xf numFmtId="0" fontId="10" fillId="0" borderId="28" xfId="0" applyFont="1" applyBorder="1"/>
    <xf numFmtId="0" fontId="5" fillId="0" borderId="33" xfId="0" applyFont="1" applyBorder="1"/>
    <xf numFmtId="0" fontId="5" fillId="0" borderId="37" xfId="0" applyFont="1" applyFill="1" applyBorder="1" applyAlignment="1">
      <alignment horizontal="center"/>
    </xf>
    <xf numFmtId="167" fontId="5" fillId="0" borderId="34" xfId="2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3" fontId="5" fillId="6" borderId="3" xfId="0" applyNumberFormat="1" applyFont="1" applyFill="1" applyBorder="1"/>
    <xf numFmtId="3" fontId="5" fillId="6" borderId="44" xfId="0" applyNumberFormat="1" applyFont="1" applyFill="1" applyBorder="1"/>
    <xf numFmtId="3" fontId="6" fillId="6" borderId="44" xfId="0" applyNumberFormat="1" applyFont="1" applyFill="1" applyBorder="1" applyAlignment="1">
      <alignment horizontal="center" vertical="center" wrapText="1"/>
    </xf>
    <xf numFmtId="3" fontId="6" fillId="6" borderId="20" xfId="0" applyNumberFormat="1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167" fontId="5" fillId="5" borderId="14" xfId="2" applyNumberFormat="1" applyFont="1" applyFill="1" applyBorder="1"/>
    <xf numFmtId="42" fontId="10" fillId="0" borderId="46" xfId="0" applyNumberFormat="1" applyFont="1" applyFill="1" applyBorder="1"/>
    <xf numFmtId="0" fontId="5" fillId="0" borderId="17" xfId="0" applyFont="1" applyFill="1" applyBorder="1" applyAlignment="1">
      <alignment horizontal="center" wrapText="1"/>
    </xf>
    <xf numFmtId="167" fontId="5" fillId="5" borderId="31" xfId="2" applyNumberFormat="1" applyFont="1" applyFill="1" applyBorder="1"/>
    <xf numFmtId="42" fontId="5" fillId="5" borderId="26" xfId="0" applyNumberFormat="1" applyFont="1" applyFill="1" applyBorder="1" applyAlignment="1">
      <alignment horizontal="right"/>
    </xf>
    <xf numFmtId="0" fontId="10" fillId="2" borderId="16" xfId="0" applyFont="1" applyFill="1" applyBorder="1" applyAlignment="1"/>
    <xf numFmtId="0" fontId="10" fillId="2" borderId="17" xfId="0" applyFont="1" applyFill="1" applyBorder="1" applyAlignment="1"/>
    <xf numFmtId="167" fontId="10" fillId="5" borderId="29" xfId="2" applyNumberFormat="1" applyFont="1" applyFill="1" applyBorder="1"/>
    <xf numFmtId="167" fontId="5" fillId="5" borderId="43" xfId="2" applyNumberFormat="1" applyFont="1" applyFill="1" applyBorder="1"/>
    <xf numFmtId="3" fontId="5" fillId="6" borderId="43" xfId="0" applyNumberFormat="1" applyFont="1" applyFill="1" applyBorder="1"/>
    <xf numFmtId="3" fontId="10" fillId="6" borderId="45" xfId="0" applyNumberFormat="1" applyFont="1" applyFill="1" applyBorder="1"/>
    <xf numFmtId="3" fontId="10" fillId="6" borderId="29" xfId="0" applyNumberFormat="1" applyFont="1" applyFill="1" applyBorder="1"/>
    <xf numFmtId="0" fontId="5" fillId="0" borderId="26" xfId="0" applyFont="1" applyFill="1" applyBorder="1" applyAlignment="1">
      <alignment horizontal="center"/>
    </xf>
    <xf numFmtId="166" fontId="5" fillId="6" borderId="7" xfId="1" applyNumberFormat="1" applyFont="1" applyFill="1" applyBorder="1"/>
    <xf numFmtId="166" fontId="5" fillId="0" borderId="7" xfId="1" applyNumberFormat="1" applyFont="1" applyFill="1" applyBorder="1"/>
    <xf numFmtId="0" fontId="10" fillId="2" borderId="15" xfId="0" applyFont="1" applyFill="1" applyBorder="1" applyAlignment="1">
      <alignment horizontal="left"/>
    </xf>
    <xf numFmtId="0" fontId="10" fillId="3" borderId="24" xfId="0" applyFont="1" applyFill="1" applyBorder="1" applyAlignment="1">
      <alignment horizontal="right" vertical="center"/>
    </xf>
    <xf numFmtId="0" fontId="7" fillId="0" borderId="26" xfId="0" applyFont="1" applyFill="1" applyBorder="1" applyAlignment="1">
      <alignment horizontal="left" vertical="center" indent="1"/>
    </xf>
    <xf numFmtId="0" fontId="10" fillId="3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left" indent="1"/>
    </xf>
    <xf numFmtId="0" fontId="10" fillId="3" borderId="8" xfId="0" applyFont="1" applyFill="1" applyBorder="1" applyAlignment="1">
      <alignment horizontal="right"/>
    </xf>
    <xf numFmtId="0" fontId="10" fillId="0" borderId="26" xfId="0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10" xfId="0" applyFont="1" applyFill="1" applyBorder="1" applyAlignment="1">
      <alignment horizontal="left"/>
    </xf>
    <xf numFmtId="0" fontId="10" fillId="0" borderId="26" xfId="0" applyFont="1" applyFill="1" applyBorder="1" applyAlignment="1">
      <alignment horizontal="left" indent="2"/>
    </xf>
    <xf numFmtId="0" fontId="10" fillId="0" borderId="7" xfId="0" applyFont="1" applyFill="1" applyBorder="1" applyAlignment="1">
      <alignment horizontal="left" indent="2"/>
    </xf>
    <xf numFmtId="0" fontId="10" fillId="0" borderId="10" xfId="0" applyFont="1" applyFill="1" applyBorder="1" applyAlignment="1">
      <alignment horizontal="left" indent="2"/>
    </xf>
    <xf numFmtId="167" fontId="10" fillId="0" borderId="0" xfId="2" applyNumberFormat="1" applyFont="1" applyFill="1" applyBorder="1"/>
    <xf numFmtId="3" fontId="7" fillId="3" borderId="32" xfId="0" applyNumberFormat="1" applyFont="1" applyFill="1" applyBorder="1" applyAlignment="1">
      <alignment horizontal="left" vertical="center" indent="2"/>
    </xf>
    <xf numFmtId="0" fontId="6" fillId="3" borderId="27" xfId="0" applyFont="1" applyFill="1" applyBorder="1" applyAlignment="1"/>
    <xf numFmtId="0" fontId="19" fillId="0" borderId="32" xfId="0" applyFont="1" applyFill="1" applyBorder="1" applyAlignment="1">
      <alignment vertical="center"/>
    </xf>
    <xf numFmtId="0" fontId="25" fillId="0" borderId="27" xfId="0" applyFont="1" applyFill="1" applyBorder="1" applyAlignment="1">
      <alignment horizontal="center"/>
    </xf>
    <xf numFmtId="3" fontId="7" fillId="3" borderId="38" xfId="0" applyNumberFormat="1" applyFont="1" applyFill="1" applyBorder="1" applyAlignment="1">
      <alignment horizontal="left" vertical="center" indent="2"/>
    </xf>
    <xf numFmtId="0" fontId="6" fillId="3" borderId="39" xfId="0" applyFont="1" applyFill="1" applyBorder="1" applyAlignment="1"/>
    <xf numFmtId="0" fontId="10" fillId="0" borderId="15" xfId="0" applyFont="1" applyBorder="1" applyAlignment="1">
      <alignment horizontal="left"/>
    </xf>
    <xf numFmtId="0" fontId="10" fillId="0" borderId="45" xfId="0" applyFont="1" applyBorder="1" applyAlignment="1">
      <alignment horizontal="left"/>
    </xf>
    <xf numFmtId="1" fontId="0" fillId="0" borderId="1" xfId="0" applyNumberFormat="1" applyBorder="1" applyAlignment="1">
      <alignment horizontal="center" vertical="center"/>
    </xf>
    <xf numFmtId="166" fontId="0" fillId="0" borderId="1" xfId="1" applyNumberFormat="1" applyFont="1" applyBorder="1" applyAlignment="1">
      <alignment vertical="center"/>
    </xf>
    <xf numFmtId="166" fontId="0" fillId="0" borderId="1" xfId="1" applyNumberFormat="1" applyFont="1" applyBorder="1" applyAlignment="1">
      <alignment vertical="center" wrapText="1"/>
    </xf>
    <xf numFmtId="166" fontId="0" fillId="0" borderId="1" xfId="1" applyNumberFormat="1" applyFont="1" applyFill="1" applyBorder="1" applyAlignment="1">
      <alignment vertical="center" wrapText="1"/>
    </xf>
    <xf numFmtId="0" fontId="7" fillId="0" borderId="10" xfId="0" quotePrefix="1" applyFont="1" applyFill="1" applyBorder="1" applyAlignment="1">
      <alignment horizontal="left" indent="1"/>
    </xf>
    <xf numFmtId="42" fontId="5" fillId="5" borderId="13" xfId="0" applyNumberFormat="1" applyFont="1" applyFill="1" applyBorder="1" applyAlignment="1">
      <alignment horizontal="right"/>
    </xf>
    <xf numFmtId="0" fontId="20" fillId="0" borderId="34" xfId="0" applyFont="1" applyFill="1" applyBorder="1" applyAlignment="1">
      <alignment horizontal="left" wrapText="1"/>
    </xf>
    <xf numFmtId="0" fontId="5" fillId="0" borderId="18" xfId="0" applyFont="1" applyBorder="1"/>
    <xf numFmtId="166" fontId="10" fillId="0" borderId="19" xfId="1" applyNumberFormat="1" applyFont="1" applyBorder="1"/>
    <xf numFmtId="167" fontId="10" fillId="0" borderId="19" xfId="2" applyNumberFormat="1" applyFont="1" applyBorder="1"/>
    <xf numFmtId="167" fontId="10" fillId="0" borderId="20" xfId="2" applyNumberFormat="1" applyFont="1" applyBorder="1"/>
    <xf numFmtId="0" fontId="5" fillId="0" borderId="8" xfId="0" applyFont="1" applyBorder="1"/>
    <xf numFmtId="166" fontId="10" fillId="0" borderId="49" xfId="1" applyNumberFormat="1" applyFont="1" applyFill="1" applyBorder="1"/>
    <xf numFmtId="166" fontId="5" fillId="0" borderId="10" xfId="1" applyNumberFormat="1" applyFont="1" applyFill="1" applyBorder="1"/>
    <xf numFmtId="0" fontId="5" fillId="0" borderId="6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2" xfId="0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10" fillId="0" borderId="28" xfId="0" applyFont="1" applyBorder="1" applyAlignment="1">
      <alignment horizontal="left"/>
    </xf>
    <xf numFmtId="0" fontId="10" fillId="0" borderId="33" xfId="0" applyFont="1" applyBorder="1" applyAlignment="1">
      <alignment horizontal="left"/>
    </xf>
    <xf numFmtId="0" fontId="10" fillId="2" borderId="32" xfId="0" applyFont="1" applyFill="1" applyBorder="1" applyAlignment="1"/>
    <xf numFmtId="0" fontId="10" fillId="2" borderId="36" xfId="0" applyFont="1" applyFill="1" applyBorder="1" applyAlignment="1"/>
    <xf numFmtId="0" fontId="10" fillId="2" borderId="27" xfId="0" applyFont="1" applyFill="1" applyBorder="1" applyAlignment="1"/>
    <xf numFmtId="0" fontId="5" fillId="0" borderId="18" xfId="0" applyFont="1" applyFill="1" applyBorder="1" applyAlignment="1">
      <alignment horizontal="left"/>
    </xf>
    <xf numFmtId="0" fontId="5" fillId="0" borderId="19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left"/>
    </xf>
    <xf numFmtId="0" fontId="10" fillId="0" borderId="47" xfId="0" applyFont="1" applyFill="1" applyBorder="1" applyAlignment="1">
      <alignment horizontal="left"/>
    </xf>
    <xf numFmtId="0" fontId="10" fillId="0" borderId="48" xfId="0" applyFont="1" applyFill="1" applyBorder="1" applyAlignment="1">
      <alignment horizontal="left"/>
    </xf>
    <xf numFmtId="0" fontId="10" fillId="0" borderId="15" xfId="0" applyFont="1" applyFill="1" applyBorder="1" applyAlignment="1">
      <alignment horizontal="left"/>
    </xf>
    <xf numFmtId="0" fontId="10" fillId="0" borderId="16" xfId="0" applyFont="1" applyFill="1" applyBorder="1" applyAlignment="1">
      <alignment horizontal="left"/>
    </xf>
    <xf numFmtId="0" fontId="10" fillId="0" borderId="17" xfId="0" applyFont="1" applyFill="1" applyBorder="1" applyAlignment="1">
      <alignment horizontal="left"/>
    </xf>
    <xf numFmtId="0" fontId="14" fillId="4" borderId="0" xfId="0" applyFont="1" applyFill="1" applyBorder="1" applyAlignment="1">
      <alignment horizontal="left" vertic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14" fillId="4" borderId="0" xfId="0" applyFont="1" applyFill="1" applyBorder="1" applyAlignment="1">
      <alignment horizontal="left"/>
    </xf>
    <xf numFmtId="0" fontId="0" fillId="0" borderId="0" xfId="0" applyAlignment="1"/>
    <xf numFmtId="0" fontId="20" fillId="0" borderId="15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20" fillId="0" borderId="17" xfId="0" applyFont="1" applyFill="1" applyBorder="1" applyAlignment="1">
      <alignment horizontal="left" vertical="top" wrapText="1"/>
    </xf>
    <xf numFmtId="0" fontId="4" fillId="7" borderId="0" xfId="0" applyFont="1" applyFill="1" applyBorder="1" applyAlignment="1">
      <alignment horizontal="center" vertical="center"/>
    </xf>
  </cellXfs>
  <cellStyles count="5">
    <cellStyle name="Comma" xfId="1" builtinId="3"/>
    <cellStyle name="Currency" xfId="2" builtinId="4"/>
    <cellStyle name="Normal" xfId="0" builtinId="0"/>
    <cellStyle name="Normal 2" xfId="4" xr:uid="{6A91E870-BC25-4341-A75E-7E4271A7CF4A}"/>
    <cellStyle name="Percent" xfId="3" builtinId="5"/>
  </cellStyles>
  <dxfs count="0"/>
  <tableStyles count="0" defaultTableStyle="TableStyleMedium2" defaultPivotStyle="PivotStyleLight16"/>
  <colors>
    <mruColors>
      <color rgb="FFE2CFF1"/>
      <color rgb="FFF5C5C3"/>
      <color rgb="FF419977"/>
      <color rgb="FF388467"/>
      <color rgb="FFF1E8F8"/>
      <color rgb="FFFFCDCD"/>
      <color rgb="FFFFE5E5"/>
      <color rgb="FFFFC9C9"/>
      <color rgb="FFEE9E9A"/>
      <color rgb="FFEA87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1412875</xdr:colOff>
      <xdr:row>7</xdr:row>
      <xdr:rowOff>284965</xdr:rowOff>
    </xdr:from>
    <xdr:to>
      <xdr:col>8</xdr:col>
      <xdr:colOff>365125</xdr:colOff>
      <xdr:row>25</xdr:row>
      <xdr:rowOff>216713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DE6E721-751D-6305-79CF-244904AA4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" r="842" b="19336"/>
        <a:stretch/>
      </xdr:blipFill>
      <xdr:spPr>
        <a:xfrm>
          <a:off x="3016250" y="2015340"/>
          <a:ext cx="7604125" cy="431324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28</xdr:row>
      <xdr:rowOff>63500</xdr:rowOff>
    </xdr:from>
    <xdr:to>
      <xdr:col>5</xdr:col>
      <xdr:colOff>1341967</xdr:colOff>
      <xdr:row>53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3D3A27-3377-BFD5-DEBC-FA0B0DC96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0" t="8271" r="3398" b="4780"/>
        <a:stretch/>
      </xdr:blipFill>
      <xdr:spPr>
        <a:xfrm>
          <a:off x="2127250" y="6842125"/>
          <a:ext cx="5101167" cy="5921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285A7-E413-4D6E-86CE-6DA32524C271}">
  <sheetPr>
    <tabColor rgb="FFFF4747"/>
    <pageSetUpPr fitToPage="1"/>
  </sheetPr>
  <dimension ref="B1:P77"/>
  <sheetViews>
    <sheetView tabSelected="1" topLeftCell="B1" zoomScale="89" zoomScaleNormal="89" workbookViewId="0">
      <selection activeCell="B2" sqref="B2"/>
    </sheetView>
  </sheetViews>
  <sheetFormatPr defaultColWidth="8.7265625" defaultRowHeight="14" x14ac:dyDescent="0.3"/>
  <cols>
    <col min="1" max="1" width="3.453125" style="1" customWidth="1"/>
    <col min="2" max="2" width="3.7265625" style="1" customWidth="1"/>
    <col min="3" max="3" width="16" style="1" customWidth="1"/>
    <col min="4" max="4" width="31.453125" style="1" customWidth="1"/>
    <col min="5" max="5" width="30.08984375" style="1" customWidth="1"/>
    <col min="6" max="6" width="23.54296875" style="1" customWidth="1"/>
    <col min="7" max="7" width="29.7265625" style="1" customWidth="1"/>
    <col min="8" max="8" width="9" style="1" customWidth="1"/>
    <col min="9" max="9" width="20" style="1" customWidth="1"/>
    <col min="10" max="10" width="4.1796875" style="54" customWidth="1"/>
    <col min="11" max="11" width="28.90625" style="1" customWidth="1"/>
    <col min="12" max="13" width="13.453125" style="1" customWidth="1"/>
    <col min="14" max="14" width="15.08984375" style="1" customWidth="1"/>
    <col min="15" max="15" width="13.54296875" style="1" customWidth="1"/>
    <col min="16" max="16" width="8.7265625" style="1"/>
    <col min="17" max="17" width="58.26953125" style="1" customWidth="1"/>
    <col min="18" max="18" width="34.81640625" style="1" customWidth="1"/>
    <col min="19" max="16384" width="8.7265625" style="1"/>
  </cols>
  <sheetData>
    <row r="1" spans="2:16" s="53" customFormat="1" ht="25.5" customHeight="1" thickBot="1" x14ac:dyDescent="0.45">
      <c r="B1" s="301" t="s">
        <v>153</v>
      </c>
      <c r="C1" s="300"/>
      <c r="D1" s="300"/>
      <c r="E1" s="300"/>
      <c r="F1" s="300"/>
      <c r="G1" s="298"/>
      <c r="H1" s="299"/>
      <c r="I1" s="297"/>
      <c r="K1" s="297"/>
      <c r="L1" s="297"/>
      <c r="M1" s="108" t="s">
        <v>101</v>
      </c>
      <c r="N1" s="106"/>
      <c r="P1" s="111"/>
    </row>
    <row r="2" spans="2:16" ht="18.5" customHeight="1" thickBot="1" x14ac:dyDescent="0.35">
      <c r="G2" s="304"/>
      <c r="H2" s="2"/>
      <c r="I2" s="2"/>
      <c r="L2" s="110"/>
      <c r="M2" s="102"/>
      <c r="N2" s="1" t="s">
        <v>99</v>
      </c>
    </row>
    <row r="3" spans="2:16" ht="18.5" customHeight="1" thickBot="1" x14ac:dyDescent="0.5">
      <c r="C3" s="366" t="s">
        <v>38</v>
      </c>
      <c r="D3" s="367"/>
      <c r="E3" s="94"/>
      <c r="F3" s="95"/>
      <c r="G3" s="96"/>
      <c r="H3" s="95"/>
      <c r="I3" s="21"/>
      <c r="M3" s="103"/>
      <c r="N3" s="21" t="s">
        <v>100</v>
      </c>
      <c r="P3" s="21"/>
    </row>
    <row r="4" spans="2:16" ht="18.5" customHeight="1" x14ac:dyDescent="0.45">
      <c r="C4" s="354" t="s">
        <v>39</v>
      </c>
      <c r="D4" s="362" t="str">
        <f>'Site Base Data'!C4</f>
        <v>Michigan</v>
      </c>
      <c r="E4" s="44"/>
      <c r="F4" s="24"/>
      <c r="G4" s="77"/>
      <c r="H4" s="24"/>
      <c r="I4" s="21"/>
      <c r="M4" s="305"/>
      <c r="N4" s="21"/>
      <c r="P4" s="21"/>
    </row>
    <row r="5" spans="2:16" s="2" customFormat="1" ht="18.5" customHeight="1" x14ac:dyDescent="0.3">
      <c r="C5" s="356" t="s">
        <v>40</v>
      </c>
      <c r="D5" s="363" t="str">
        <f>'Site Base Data'!C5</f>
        <v>Michigan &amp; 117th</v>
      </c>
      <c r="E5" s="84"/>
      <c r="F5" s="84"/>
      <c r="G5" s="84"/>
      <c r="H5" s="84"/>
      <c r="I5" s="21"/>
      <c r="M5" s="21"/>
      <c r="N5" s="21"/>
      <c r="P5" s="21"/>
    </row>
    <row r="6" spans="2:16" ht="18.5" customHeight="1" thickBot="1" x14ac:dyDescent="0.35">
      <c r="C6" s="358" t="s">
        <v>2</v>
      </c>
      <c r="D6" s="364">
        <f>'Site Base Data'!C6</f>
        <v>2</v>
      </c>
      <c r="E6" s="88"/>
      <c r="F6" s="85"/>
      <c r="G6" s="85"/>
      <c r="M6" s="95"/>
      <c r="N6" s="21"/>
      <c r="P6" s="21"/>
    </row>
    <row r="7" spans="2:16" ht="17" customHeight="1" thickBot="1" x14ac:dyDescent="0.35">
      <c r="O7" s="311"/>
    </row>
    <row r="8" spans="2:16" ht="27.5" customHeight="1" thickBot="1" x14ac:dyDescent="0.35">
      <c r="K8" s="394" t="s">
        <v>126</v>
      </c>
      <c r="L8" s="395"/>
      <c r="M8" s="395"/>
      <c r="N8" s="396"/>
      <c r="O8" s="30"/>
    </row>
    <row r="9" spans="2:16" ht="18" customHeight="1" x14ac:dyDescent="0.3">
      <c r="K9" s="403"/>
      <c r="L9" s="404"/>
      <c r="M9" s="404"/>
      <c r="N9" s="350" t="s">
        <v>111</v>
      </c>
      <c r="O9" s="315"/>
    </row>
    <row r="10" spans="2:16" ht="17" customHeight="1" x14ac:dyDescent="0.3">
      <c r="K10" s="405" t="s">
        <v>54</v>
      </c>
      <c r="L10" s="406"/>
      <c r="M10" s="406"/>
      <c r="N10" s="351">
        <f>'Site Base Data'!D9</f>
        <v>25873</v>
      </c>
      <c r="O10" s="315"/>
    </row>
    <row r="11" spans="2:16" ht="17" customHeight="1" x14ac:dyDescent="0.3">
      <c r="K11" s="399" t="s">
        <v>86</v>
      </c>
      <c r="L11" s="400"/>
      <c r="M11" s="400"/>
      <c r="N11" s="352">
        <f>SUM(M23:N23)</f>
        <v>36.562416107382546</v>
      </c>
      <c r="O11" s="315"/>
    </row>
    <row r="12" spans="2:16" ht="17" customHeight="1" x14ac:dyDescent="0.3">
      <c r="K12" s="399" t="s">
        <v>36</v>
      </c>
      <c r="L12" s="400"/>
      <c r="M12" s="400"/>
      <c r="N12" s="352">
        <f>SUM(M24:N24)</f>
        <v>24</v>
      </c>
      <c r="O12" s="315"/>
    </row>
    <row r="13" spans="2:16" ht="17" customHeight="1" x14ac:dyDescent="0.3">
      <c r="K13" s="399" t="s">
        <v>37</v>
      </c>
      <c r="L13" s="400"/>
      <c r="M13" s="400"/>
      <c r="N13" s="352">
        <f>SUM(M25:N25)</f>
        <v>0</v>
      </c>
      <c r="O13" s="315"/>
    </row>
    <row r="14" spans="2:16" ht="17" customHeight="1" thickBot="1" x14ac:dyDescent="0.35">
      <c r="K14" s="407" t="s">
        <v>44</v>
      </c>
      <c r="L14" s="408"/>
      <c r="M14" s="408"/>
      <c r="N14" s="387">
        <f>'Site Base Data'!D16</f>
        <v>51835</v>
      </c>
      <c r="O14" s="315"/>
    </row>
    <row r="15" spans="2:16" ht="17" customHeight="1" thickBot="1" x14ac:dyDescent="0.35">
      <c r="K15" s="409" t="s">
        <v>90</v>
      </c>
      <c r="L15" s="410"/>
      <c r="M15" s="410"/>
      <c r="N15" s="386">
        <f>SUM(M27:N27)</f>
        <v>51835</v>
      </c>
      <c r="O15" s="175"/>
    </row>
    <row r="16" spans="2:16" ht="17" customHeight="1" x14ac:dyDescent="0.3">
      <c r="D16" s="2"/>
      <c r="H16" s="115"/>
      <c r="I16" s="115"/>
      <c r="J16" s="174"/>
      <c r="O16" s="175"/>
    </row>
    <row r="17" spans="8:15" ht="17" customHeight="1" thickBot="1" x14ac:dyDescent="0.35">
      <c r="H17" s="115"/>
      <c r="I17" s="115"/>
      <c r="J17" s="174"/>
      <c r="O17" s="172"/>
    </row>
    <row r="18" spans="8:15" ht="28" customHeight="1" thickBot="1" x14ac:dyDescent="0.35">
      <c r="J18" s="174"/>
      <c r="K18" s="394" t="s">
        <v>89</v>
      </c>
      <c r="L18" s="395"/>
      <c r="M18" s="395"/>
      <c r="N18" s="396"/>
      <c r="O18" s="175"/>
    </row>
    <row r="19" spans="8:15" ht="24" customHeight="1" thickBot="1" x14ac:dyDescent="0.35">
      <c r="J19" s="174"/>
      <c r="K19" s="401"/>
      <c r="L19" s="402"/>
      <c r="M19" s="337" t="s">
        <v>72</v>
      </c>
      <c r="N19" s="336" t="s">
        <v>73</v>
      </c>
      <c r="O19" s="175"/>
    </row>
    <row r="20" spans="8:15" ht="21.5" customHeight="1" x14ac:dyDescent="0.3">
      <c r="J20" s="174"/>
      <c r="K20" s="397" t="s">
        <v>35</v>
      </c>
      <c r="L20" s="398"/>
      <c r="M20" s="334" t="str">
        <f>'Site Base Data'!E11</f>
        <v>Multi-family</v>
      </c>
      <c r="N20" s="335" t="str">
        <f>'Site Base Data'!F11</f>
        <v>8 Flat</v>
      </c>
      <c r="O20" s="175"/>
    </row>
    <row r="21" spans="8:15" ht="17" customHeight="1" x14ac:dyDescent="0.3">
      <c r="J21" s="174"/>
      <c r="K21" s="399" t="s">
        <v>45</v>
      </c>
      <c r="L21" s="400"/>
      <c r="M21" s="332">
        <f>'Site Base Data'!E$21</f>
        <v>4</v>
      </c>
      <c r="N21" s="104">
        <f>'Site Base Data'!F$21</f>
        <v>4</v>
      </c>
      <c r="O21" s="175"/>
    </row>
    <row r="22" spans="8:15" ht="17" customHeight="1" x14ac:dyDescent="0.3">
      <c r="J22" s="174"/>
      <c r="K22" s="399" t="s">
        <v>54</v>
      </c>
      <c r="L22" s="400"/>
      <c r="M22" s="333">
        <f>'Site Base Data'!E$9</f>
        <v>18075</v>
      </c>
      <c r="N22" s="105">
        <f>'Site Base Data'!F$9</f>
        <v>4040</v>
      </c>
      <c r="O22" s="175"/>
    </row>
    <row r="23" spans="8:15" ht="17" customHeight="1" x14ac:dyDescent="0.3">
      <c r="J23" s="174"/>
      <c r="K23" s="388" t="s">
        <v>86</v>
      </c>
      <c r="L23" s="389"/>
      <c r="M23" s="333">
        <f>'Site Base Data'!E$23</f>
        <v>28.56241610738255</v>
      </c>
      <c r="N23" s="105">
        <f>'Site Base Data'!F$23</f>
        <v>8</v>
      </c>
      <c r="O23" s="175"/>
    </row>
    <row r="24" spans="8:15" ht="17" customHeight="1" x14ac:dyDescent="0.3">
      <c r="J24" s="174"/>
      <c r="K24" s="388" t="s">
        <v>36</v>
      </c>
      <c r="L24" s="389"/>
      <c r="M24" s="332">
        <f>'Site Base Data'!E$25</f>
        <v>18</v>
      </c>
      <c r="N24" s="104">
        <f>'Site Base Data'!F$25</f>
        <v>6</v>
      </c>
      <c r="O24" s="175"/>
    </row>
    <row r="25" spans="8:15" ht="17" customHeight="1" x14ac:dyDescent="0.3">
      <c r="J25" s="174"/>
      <c r="K25" s="388" t="s">
        <v>37</v>
      </c>
      <c r="L25" s="389"/>
      <c r="M25" s="333" t="str">
        <f>'Site Base Data'!E14</f>
        <v>-</v>
      </c>
      <c r="N25" s="105" t="str">
        <f>'Site Base Data'!F14</f>
        <v>-</v>
      </c>
      <c r="O25" s="175"/>
    </row>
    <row r="26" spans="8:15" ht="17" customHeight="1" thickBot="1" x14ac:dyDescent="0.35">
      <c r="J26" s="174"/>
      <c r="K26" s="390" t="s">
        <v>44</v>
      </c>
      <c r="L26" s="391"/>
      <c r="M26" s="347">
        <f>'Site Base Data'!E16</f>
        <v>38715</v>
      </c>
      <c r="N26" s="347">
        <f>'Site Base Data'!F16</f>
        <v>13120</v>
      </c>
      <c r="O26" s="175"/>
    </row>
    <row r="27" spans="8:15" ht="17" customHeight="1" thickBot="1" x14ac:dyDescent="0.35">
      <c r="J27" s="174"/>
      <c r="K27" s="392" t="s">
        <v>41</v>
      </c>
      <c r="L27" s="393"/>
      <c r="M27" s="348">
        <f>'Site Base Data'!E22</f>
        <v>38715</v>
      </c>
      <c r="N27" s="349">
        <f>'Site Base Data'!F22</f>
        <v>13120</v>
      </c>
      <c r="O27" s="175"/>
    </row>
    <row r="28" spans="8:15" ht="17" customHeight="1" x14ac:dyDescent="0.3">
      <c r="H28" s="115"/>
      <c r="I28" s="115"/>
      <c r="J28" s="174"/>
      <c r="K28" s="331"/>
      <c r="L28" s="76"/>
      <c r="M28" s="175"/>
      <c r="N28" s="175"/>
      <c r="O28" s="175"/>
    </row>
    <row r="29" spans="8:15" ht="17" customHeight="1" thickBot="1" x14ac:dyDescent="0.35">
      <c r="H29" s="115"/>
      <c r="I29" s="115"/>
      <c r="J29" s="174"/>
      <c r="K29" s="17"/>
      <c r="M29" s="175"/>
      <c r="N29" s="175"/>
      <c r="O29" s="175"/>
    </row>
    <row r="30" spans="8:15" ht="28" customHeight="1" thickBot="1" x14ac:dyDescent="0.35">
      <c r="H30" s="115"/>
      <c r="I30" s="115"/>
      <c r="J30" s="174"/>
      <c r="K30" s="394" t="s">
        <v>93</v>
      </c>
      <c r="L30" s="395"/>
      <c r="M30" s="395"/>
      <c r="N30" s="396"/>
      <c r="O30" s="175"/>
    </row>
    <row r="31" spans="8:15" ht="17" customHeight="1" thickBot="1" x14ac:dyDescent="0.35">
      <c r="J31" s="174"/>
      <c r="K31" s="415"/>
      <c r="L31" s="416"/>
      <c r="M31" s="416"/>
      <c r="N31" s="340" t="s">
        <v>23</v>
      </c>
      <c r="O31" s="175"/>
    </row>
    <row r="32" spans="8:15" ht="17" customHeight="1" x14ac:dyDescent="0.3">
      <c r="J32" s="174"/>
      <c r="K32" s="399" t="s">
        <v>88</v>
      </c>
      <c r="L32" s="400"/>
      <c r="M32" s="400"/>
      <c r="N32" s="342" t="str">
        <f>'Sources Uses'!Q13</f>
        <v>TBD</v>
      </c>
      <c r="O32" s="175"/>
    </row>
    <row r="33" spans="3:15" ht="17" customHeight="1" x14ac:dyDescent="0.3">
      <c r="J33" s="174"/>
      <c r="K33" s="399" t="s">
        <v>87</v>
      </c>
      <c r="L33" s="400"/>
      <c r="M33" s="400"/>
      <c r="N33" s="379" t="str">
        <f>'Sources Uses'!Q17</f>
        <v>TBD</v>
      </c>
      <c r="O33" s="175"/>
    </row>
    <row r="34" spans="3:15" ht="17" customHeight="1" x14ac:dyDescent="0.3">
      <c r="J34" s="174"/>
      <c r="K34" s="388" t="s">
        <v>130</v>
      </c>
      <c r="L34" s="389"/>
      <c r="M34" s="389"/>
      <c r="N34" s="176">
        <f>SUM('Sources Uses'!I18+'Sources Uses'!I19)</f>
        <v>50000</v>
      </c>
      <c r="O34" s="175"/>
    </row>
    <row r="35" spans="3:15" ht="17" customHeight="1" x14ac:dyDescent="0.3">
      <c r="J35" s="174"/>
      <c r="K35" s="388" t="s">
        <v>131</v>
      </c>
      <c r="L35" s="389"/>
      <c r="M35" s="389"/>
      <c r="N35" s="176">
        <f>SUM('Sources Uses'!I22+'Sources Uses'!I23+'Sources Uses'!I24)</f>
        <v>118650</v>
      </c>
      <c r="O35" s="175"/>
    </row>
    <row r="36" spans="3:15" ht="17" customHeight="1" x14ac:dyDescent="0.3">
      <c r="J36" s="174"/>
      <c r="K36" s="399" t="s">
        <v>118</v>
      </c>
      <c r="L36" s="400"/>
      <c r="M36" s="400"/>
      <c r="N36" s="176">
        <f>SUM('Sources Uses'!I21)</f>
        <v>388095</v>
      </c>
      <c r="O36" s="175"/>
    </row>
    <row r="37" spans="3:15" ht="17" customHeight="1" x14ac:dyDescent="0.3">
      <c r="J37" s="174"/>
      <c r="K37" s="399" t="s">
        <v>98</v>
      </c>
      <c r="L37" s="400"/>
      <c r="M37" s="400"/>
      <c r="N37" s="338">
        <f>'Sources Uses'!I35</f>
        <v>129800</v>
      </c>
      <c r="O37" s="175"/>
    </row>
    <row r="38" spans="3:15" ht="17" customHeight="1" thickBot="1" x14ac:dyDescent="0.35">
      <c r="J38" s="174"/>
      <c r="K38" s="407" t="s">
        <v>117</v>
      </c>
      <c r="L38" s="408"/>
      <c r="M38" s="408"/>
      <c r="N38" s="341">
        <f>'Sources Uses'!I45</f>
        <v>275300</v>
      </c>
      <c r="O38" s="175"/>
    </row>
    <row r="39" spans="3:15" ht="17" customHeight="1" thickBot="1" x14ac:dyDescent="0.35">
      <c r="J39" s="174"/>
      <c r="K39" s="411" t="s">
        <v>91</v>
      </c>
      <c r="L39" s="412"/>
      <c r="M39" s="413"/>
      <c r="N39" s="339">
        <f>'Sources Uses'!I47</f>
        <v>961900</v>
      </c>
      <c r="O39" s="175"/>
    </row>
    <row r="40" spans="3:15" ht="17" customHeight="1" x14ac:dyDescent="0.3">
      <c r="J40" s="174"/>
      <c r="M40" s="115"/>
      <c r="N40" s="115"/>
      <c r="O40" s="175"/>
    </row>
    <row r="41" spans="3:15" ht="17" customHeight="1" x14ac:dyDescent="0.3">
      <c r="I41" s="54"/>
      <c r="J41" s="1"/>
    </row>
    <row r="42" spans="3:15" ht="24.5" customHeight="1" x14ac:dyDescent="0.3">
      <c r="G42" s="319" t="s">
        <v>127</v>
      </c>
      <c r="H42" s="319"/>
      <c r="I42" s="319"/>
      <c r="J42" s="93"/>
      <c r="K42" s="93"/>
      <c r="L42" s="93"/>
      <c r="M42" s="93"/>
      <c r="N42" s="93"/>
    </row>
    <row r="43" spans="3:15" ht="17" customHeight="1" thickBot="1" x14ac:dyDescent="0.35">
      <c r="C43" s="51"/>
      <c r="J43" s="51"/>
      <c r="O43" s="4"/>
    </row>
    <row r="44" spans="3:15" ht="28" customHeight="1" thickBot="1" x14ac:dyDescent="0.35">
      <c r="C44" s="2"/>
      <c r="G44" s="353" t="s">
        <v>108</v>
      </c>
      <c r="H44" s="320"/>
      <c r="I44" s="321"/>
      <c r="J44" s="2"/>
      <c r="K44" s="353" t="s">
        <v>92</v>
      </c>
      <c r="L44" s="320"/>
      <c r="M44" s="320"/>
      <c r="N44" s="321"/>
      <c r="O44" s="4"/>
    </row>
    <row r="45" spans="3:15" ht="17" customHeight="1" x14ac:dyDescent="0.3">
      <c r="C45" s="2"/>
      <c r="G45" s="329"/>
      <c r="H45" s="3"/>
      <c r="I45" s="330"/>
      <c r="J45" s="1"/>
      <c r="K45" s="57"/>
      <c r="L45" s="58"/>
      <c r="M45" s="58"/>
      <c r="N45" s="59"/>
      <c r="O45" s="4"/>
    </row>
    <row r="46" spans="3:15" ht="17" customHeight="1" x14ac:dyDescent="0.3">
      <c r="G46" s="55" t="s">
        <v>42</v>
      </c>
      <c r="H46" s="324">
        <f>'Sources Uses'!M53</f>
        <v>0.15</v>
      </c>
      <c r="I46" s="97">
        <f>'Sources Uses'!Q53</f>
        <v>3535800</v>
      </c>
      <c r="J46" s="1"/>
      <c r="K46" s="55"/>
      <c r="L46" s="60" t="s">
        <v>0</v>
      </c>
      <c r="M46" s="60" t="s">
        <v>1</v>
      </c>
      <c r="N46" s="61" t="s">
        <v>23</v>
      </c>
      <c r="O46" s="4"/>
    </row>
    <row r="47" spans="3:15" ht="17" customHeight="1" x14ac:dyDescent="0.3">
      <c r="G47" s="56" t="s">
        <v>49</v>
      </c>
      <c r="H47" s="324">
        <f>'Sources Uses'!M54</f>
        <v>0.2</v>
      </c>
      <c r="I47" s="97">
        <f>'Sources Uses'!Q54</f>
        <v>4714400</v>
      </c>
      <c r="J47" s="1"/>
      <c r="K47" s="55" t="s">
        <v>46</v>
      </c>
      <c r="L47" s="99">
        <f>'Sources Uses'!O20</f>
        <v>38715</v>
      </c>
      <c r="M47" s="100">
        <f>'Sources Uses'!$M$20</f>
        <v>400</v>
      </c>
      <c r="N47" s="97">
        <f>'Sources Uses'!Q20</f>
        <v>15486000</v>
      </c>
      <c r="O47" s="4"/>
    </row>
    <row r="48" spans="3:15" ht="17" customHeight="1" thickBot="1" x14ac:dyDescent="0.35">
      <c r="G48" s="325" t="s">
        <v>43</v>
      </c>
      <c r="H48" s="326">
        <f>'Sources Uses'!M55</f>
        <v>0.65</v>
      </c>
      <c r="I48" s="97">
        <f>'Sources Uses'!Q55</f>
        <v>15321800</v>
      </c>
      <c r="J48" s="1"/>
      <c r="K48" s="56" t="s">
        <v>96</v>
      </c>
      <c r="L48" s="99">
        <f>'Sources Uses'!O21</f>
        <v>8565</v>
      </c>
      <c r="M48" s="100">
        <f>'Sources Uses'!$M$21</f>
        <v>25</v>
      </c>
      <c r="N48" s="97">
        <f>'Sources Uses'!Q21</f>
        <v>214125</v>
      </c>
      <c r="O48" s="4"/>
    </row>
    <row r="49" spans="7:15" ht="17" customHeight="1" thickBot="1" x14ac:dyDescent="0.35">
      <c r="G49" s="327" t="s">
        <v>134</v>
      </c>
      <c r="H49" s="328"/>
      <c r="I49" s="345">
        <f>'Sources Uses'!Q51</f>
        <v>23572000</v>
      </c>
      <c r="J49" s="1"/>
      <c r="K49" s="56" t="s">
        <v>129</v>
      </c>
      <c r="L49" s="310"/>
      <c r="M49" s="62"/>
      <c r="N49" s="97">
        <f>'Sources Uses'!Q18+'Sources Uses'!Q19</f>
        <v>40000</v>
      </c>
      <c r="O49" s="4"/>
    </row>
    <row r="50" spans="7:15" ht="17" customHeight="1" x14ac:dyDescent="0.3">
      <c r="G50" s="4"/>
      <c r="I50" s="169"/>
      <c r="J50" s="1"/>
      <c r="K50" s="56" t="s">
        <v>97</v>
      </c>
      <c r="L50" s="63"/>
      <c r="M50" s="62"/>
      <c r="N50" s="97">
        <f>'Sources Uses'!Q22+'Sources Uses'!Q23+'Sources Uses'!Q24</f>
        <v>447325</v>
      </c>
      <c r="O50" s="4"/>
    </row>
    <row r="51" spans="7:15" ht="17" customHeight="1" x14ac:dyDescent="0.3">
      <c r="G51" s="305"/>
      <c r="I51" s="305"/>
      <c r="J51" s="1"/>
      <c r="K51" s="56" t="s">
        <v>98</v>
      </c>
      <c r="L51" s="3"/>
      <c r="M51" s="64"/>
      <c r="N51" s="97">
        <f>'Sources Uses'!Q35</f>
        <v>3771700</v>
      </c>
      <c r="O51" s="4"/>
    </row>
    <row r="52" spans="7:15" ht="17" customHeight="1" x14ac:dyDescent="0.3">
      <c r="G52" s="322"/>
      <c r="I52" s="73"/>
      <c r="J52" s="2"/>
      <c r="K52" s="56" t="s">
        <v>94</v>
      </c>
      <c r="L52" s="66"/>
      <c r="M52" s="67"/>
      <c r="N52" s="98">
        <f>'Sources Uses'!Q36</f>
        <v>19959200</v>
      </c>
      <c r="O52" s="4"/>
    </row>
    <row r="53" spans="7:15" ht="17" customHeight="1" x14ac:dyDescent="0.3">
      <c r="G53" s="4"/>
      <c r="I53" s="54"/>
      <c r="J53" s="2"/>
      <c r="K53" s="56"/>
      <c r="L53" s="66"/>
      <c r="M53" s="67"/>
      <c r="N53" s="68"/>
      <c r="O53" s="4"/>
    </row>
    <row r="54" spans="7:15" ht="17" customHeight="1" thickBot="1" x14ac:dyDescent="0.35">
      <c r="G54" s="4"/>
      <c r="I54" s="73"/>
      <c r="J54" s="1"/>
      <c r="K54" s="385" t="s">
        <v>95</v>
      </c>
      <c r="L54" s="69"/>
      <c r="M54" s="70"/>
      <c r="N54" s="101">
        <f>'Sources Uses'!Q45</f>
        <v>3612800</v>
      </c>
      <c r="O54" s="4"/>
    </row>
    <row r="55" spans="7:15" ht="17" customHeight="1" x14ac:dyDescent="0.3">
      <c r="G55" s="4"/>
      <c r="I55" s="169"/>
      <c r="J55" s="1"/>
      <c r="K55" s="381"/>
      <c r="L55" s="382"/>
      <c r="M55" s="383"/>
      <c r="N55" s="384"/>
      <c r="O55" s="4"/>
    </row>
    <row r="56" spans="7:15" ht="17" customHeight="1" thickBot="1" x14ac:dyDescent="0.35">
      <c r="I56" s="54"/>
      <c r="J56" s="1"/>
      <c r="K56" s="65" t="s">
        <v>133</v>
      </c>
      <c r="L56" s="69"/>
      <c r="M56" s="70"/>
      <c r="N56" s="101">
        <f>'Sources Uses'!Q47</f>
        <v>23572000</v>
      </c>
      <c r="O56" s="4"/>
    </row>
    <row r="57" spans="7:15" ht="17" customHeight="1" x14ac:dyDescent="0.3">
      <c r="I57" s="54"/>
      <c r="J57" s="1"/>
      <c r="K57" s="17"/>
      <c r="L57" s="71"/>
      <c r="M57" s="72"/>
      <c r="N57" s="365"/>
      <c r="O57" s="4"/>
    </row>
    <row r="58" spans="7:15" ht="17" customHeight="1" x14ac:dyDescent="0.3">
      <c r="G58" s="3"/>
      <c r="I58" s="22"/>
      <c r="J58" s="1"/>
      <c r="O58" s="4"/>
    </row>
    <row r="59" spans="7:15" ht="23.5" customHeight="1" x14ac:dyDescent="0.3">
      <c r="G59" s="414" t="s">
        <v>128</v>
      </c>
      <c r="H59" s="414"/>
      <c r="I59" s="414"/>
      <c r="J59" s="414"/>
      <c r="K59" s="414"/>
      <c r="L59" s="414"/>
      <c r="M59" s="414"/>
      <c r="N59" s="414"/>
      <c r="O59" s="4"/>
    </row>
    <row r="60" spans="7:15" ht="17" customHeight="1" thickBot="1" x14ac:dyDescent="0.35">
      <c r="G60" s="2"/>
      <c r="H60" s="2"/>
      <c r="I60" s="82"/>
      <c r="J60" s="51"/>
      <c r="O60" s="4"/>
    </row>
    <row r="61" spans="7:15" ht="28" customHeight="1" thickBot="1" x14ac:dyDescent="0.35">
      <c r="G61" s="353" t="s">
        <v>108</v>
      </c>
      <c r="H61" s="343"/>
      <c r="I61" s="344"/>
      <c r="J61" s="2"/>
      <c r="K61" s="353" t="s">
        <v>92</v>
      </c>
      <c r="L61" s="320"/>
      <c r="M61" s="320"/>
      <c r="N61" s="321"/>
      <c r="O61" s="4"/>
    </row>
    <row r="62" spans="7:15" ht="17" customHeight="1" x14ac:dyDescent="0.3">
      <c r="G62" s="329"/>
      <c r="H62" s="3"/>
      <c r="I62" s="330"/>
      <c r="J62" s="1"/>
      <c r="K62" s="57"/>
      <c r="L62" s="58"/>
      <c r="M62" s="58"/>
      <c r="N62" s="59"/>
      <c r="O62" s="4"/>
    </row>
    <row r="63" spans="7:15" ht="17" customHeight="1" x14ac:dyDescent="0.3">
      <c r="G63" s="55" t="s">
        <v>42</v>
      </c>
      <c r="H63" s="324">
        <f>'Sources Uses'!U53</f>
        <v>0.15</v>
      </c>
      <c r="I63" s="346">
        <f>'Sources Uses'!Y53</f>
        <v>1238925</v>
      </c>
      <c r="J63" s="1"/>
      <c r="K63" s="55"/>
      <c r="L63" s="60" t="s">
        <v>0</v>
      </c>
      <c r="M63" s="60" t="s">
        <v>1</v>
      </c>
      <c r="N63" s="61" t="s">
        <v>23</v>
      </c>
      <c r="O63" s="4"/>
    </row>
    <row r="64" spans="7:15" ht="17" customHeight="1" x14ac:dyDescent="0.3">
      <c r="G64" s="56" t="s">
        <v>49</v>
      </c>
      <c r="H64" s="324">
        <f>'Sources Uses'!U54</f>
        <v>0.2</v>
      </c>
      <c r="I64" s="346">
        <f>'Sources Uses'!Y54</f>
        <v>1651900</v>
      </c>
      <c r="J64" s="1"/>
      <c r="K64" s="55" t="s">
        <v>46</v>
      </c>
      <c r="L64" s="99">
        <f>'Sources Uses'!W$20</f>
        <v>13120</v>
      </c>
      <c r="M64" s="100">
        <f>'Sources Uses'!$U20</f>
        <v>400</v>
      </c>
      <c r="N64" s="97">
        <f>'Sources Uses'!Y$20</f>
        <v>5248000</v>
      </c>
      <c r="O64" s="4"/>
    </row>
    <row r="65" spans="4:15" ht="17" customHeight="1" thickBot="1" x14ac:dyDescent="0.35">
      <c r="G65" s="325" t="s">
        <v>43</v>
      </c>
      <c r="H65" s="324">
        <f>'Sources Uses'!U55</f>
        <v>0.65</v>
      </c>
      <c r="I65" s="346">
        <f>'Sources Uses'!Y55</f>
        <v>5368675</v>
      </c>
      <c r="J65" s="1"/>
      <c r="K65" s="56" t="s">
        <v>96</v>
      </c>
      <c r="L65" s="99">
        <f>'Sources Uses'!W$21</f>
        <v>760</v>
      </c>
      <c r="M65" s="100">
        <f>'Sources Uses'!$U21</f>
        <v>25</v>
      </c>
      <c r="N65" s="97">
        <f>'Sources Uses'!Y$21</f>
        <v>19000</v>
      </c>
      <c r="O65" s="4"/>
    </row>
    <row r="66" spans="4:15" ht="17" customHeight="1" thickBot="1" x14ac:dyDescent="0.35">
      <c r="G66" s="372" t="s">
        <v>134</v>
      </c>
      <c r="H66" s="373"/>
      <c r="I66" s="345">
        <f>'Sources Uses'!Y51</f>
        <v>8259500</v>
      </c>
      <c r="J66" s="1"/>
      <c r="K66" s="56" t="s">
        <v>129</v>
      </c>
      <c r="L66" s="310"/>
      <c r="M66" s="62"/>
      <c r="N66" s="97">
        <f>'Sources Uses'!Y18+'Sources Uses'!Y19</f>
        <v>25000</v>
      </c>
      <c r="O66" s="4"/>
    </row>
    <row r="67" spans="4:15" ht="17" customHeight="1" x14ac:dyDescent="0.3">
      <c r="J67" s="1"/>
      <c r="K67" s="56" t="s">
        <v>97</v>
      </c>
      <c r="L67" s="63"/>
      <c r="M67" s="62"/>
      <c r="N67" s="97">
        <f>'Sources Uses'!Y$22+'Sources Uses'!Y$23+'Sources Uses'!Y$24</f>
        <v>140775</v>
      </c>
      <c r="O67" s="4"/>
    </row>
    <row r="68" spans="4:15" ht="17" customHeight="1" x14ac:dyDescent="0.3">
      <c r="J68" s="1"/>
      <c r="K68" s="56" t="s">
        <v>98</v>
      </c>
      <c r="L68" s="3"/>
      <c r="M68" s="64"/>
      <c r="N68" s="97">
        <f>'Sources Uses'!Y35</f>
        <v>1265800</v>
      </c>
      <c r="O68" s="4"/>
    </row>
    <row r="69" spans="4:15" ht="17" customHeight="1" x14ac:dyDescent="0.3">
      <c r="J69" s="2"/>
      <c r="K69" s="56" t="s">
        <v>94</v>
      </c>
      <c r="L69" s="66"/>
      <c r="M69" s="67"/>
      <c r="N69" s="98">
        <f>'Sources Uses'!Y36</f>
        <v>6698600</v>
      </c>
      <c r="O69" s="4"/>
    </row>
    <row r="70" spans="4:15" ht="17" customHeight="1" x14ac:dyDescent="0.3">
      <c r="J70" s="2"/>
      <c r="K70" s="56"/>
      <c r="L70" s="66"/>
      <c r="M70" s="67"/>
      <c r="N70" s="68"/>
      <c r="O70" s="4"/>
    </row>
    <row r="71" spans="4:15" ht="17" customHeight="1" thickBot="1" x14ac:dyDescent="0.35">
      <c r="J71" s="1"/>
      <c r="K71" s="385" t="s">
        <v>95</v>
      </c>
      <c r="L71" s="69"/>
      <c r="M71" s="70"/>
      <c r="N71" s="101">
        <f>'Sources Uses'!Y$45</f>
        <v>1560900</v>
      </c>
      <c r="O71" s="4"/>
    </row>
    <row r="72" spans="4:15" ht="17" customHeight="1" x14ac:dyDescent="0.3">
      <c r="J72" s="1"/>
      <c r="K72" s="381"/>
      <c r="L72" s="382"/>
      <c r="M72" s="383"/>
      <c r="N72" s="384"/>
      <c r="O72" s="4"/>
    </row>
    <row r="73" spans="4:15" ht="17" customHeight="1" thickBot="1" x14ac:dyDescent="0.35">
      <c r="D73" s="17"/>
      <c r="E73" s="71"/>
      <c r="F73" s="72"/>
      <c r="H73" s="3"/>
      <c r="I73" s="73"/>
      <c r="J73" s="1"/>
      <c r="K73" s="65" t="s">
        <v>133</v>
      </c>
      <c r="L73" s="69"/>
      <c r="M73" s="70"/>
      <c r="N73" s="101">
        <f>'Sources Uses'!Y$47</f>
        <v>8259500</v>
      </c>
      <c r="O73" s="4"/>
    </row>
    <row r="74" spans="4:15" ht="17" customHeight="1" x14ac:dyDescent="0.3">
      <c r="D74" s="17"/>
      <c r="E74" s="71"/>
      <c r="F74" s="72"/>
      <c r="G74" s="72"/>
      <c r="I74" s="3"/>
      <c r="J74" s="73"/>
      <c r="L74" s="74"/>
      <c r="M74" s="75"/>
      <c r="N74" s="75"/>
    </row>
    <row r="75" spans="4:15" ht="17" customHeight="1" x14ac:dyDescent="0.3"/>
    <row r="76" spans="4:15" ht="17" customHeight="1" x14ac:dyDescent="0.3"/>
    <row r="77" spans="4:15" ht="17" customHeight="1" x14ac:dyDescent="0.3"/>
  </sheetData>
  <mergeCells count="29">
    <mergeCell ref="K38:M38"/>
    <mergeCell ref="K30:N30"/>
    <mergeCell ref="K39:M39"/>
    <mergeCell ref="G59:N59"/>
    <mergeCell ref="K33:M33"/>
    <mergeCell ref="K34:M34"/>
    <mergeCell ref="K35:M35"/>
    <mergeCell ref="K36:M36"/>
    <mergeCell ref="K37:M37"/>
    <mergeCell ref="K31:M31"/>
    <mergeCell ref="K32:M32"/>
    <mergeCell ref="K8:N8"/>
    <mergeCell ref="K18:N18"/>
    <mergeCell ref="K20:L20"/>
    <mergeCell ref="K21:L21"/>
    <mergeCell ref="K22:L22"/>
    <mergeCell ref="K19:L19"/>
    <mergeCell ref="K9:M9"/>
    <mergeCell ref="K10:M10"/>
    <mergeCell ref="K11:M11"/>
    <mergeCell ref="K12:M12"/>
    <mergeCell ref="K13:M13"/>
    <mergeCell ref="K14:M14"/>
    <mergeCell ref="K15:M15"/>
    <mergeCell ref="K23:L23"/>
    <mergeCell ref="K24:L24"/>
    <mergeCell ref="K25:L25"/>
    <mergeCell ref="K26:L26"/>
    <mergeCell ref="K27:L27"/>
  </mergeCells>
  <pageMargins left="0.7" right="0.7" top="0.75" bottom="0.75" header="0.3" footer="0.3"/>
  <pageSetup scale="37" orientation="landscape" horizontalDpi="360" verticalDpi="360" r:id="rId1"/>
  <headerFooter scaleWithDoc="0">
    <oddHeader>&amp;R&amp;G</oddHeader>
    <oddFooter>&amp;L&amp;G&amp;C&amp;9DRAFT &amp;D&amp;R&amp;9Page &amp;P</oddFooter>
  </headerFooter>
  <ignoredErrors>
    <ignoredError sqref="N14" 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46299-6E97-40E8-B8A0-6B2284262FB1}">
  <sheetPr>
    <tabColor theme="9" tint="0.39997558519241921"/>
    <pageSetUpPr fitToPage="1"/>
  </sheetPr>
  <dimension ref="A1:AC65"/>
  <sheetViews>
    <sheetView tabSelected="1" zoomScale="89" zoomScaleNormal="89" workbookViewId="0">
      <selection activeCell="B2" sqref="B2"/>
    </sheetView>
  </sheetViews>
  <sheetFormatPr defaultColWidth="8.7265625" defaultRowHeight="14" outlineLevelRow="1" outlineLevelCol="1" x14ac:dyDescent="0.3"/>
  <cols>
    <col min="1" max="1" width="1.36328125" style="1" customWidth="1"/>
    <col min="2" max="2" width="13.453125" style="1" customWidth="1"/>
    <col min="3" max="3" width="39.81640625" style="243" customWidth="1"/>
    <col min="4" max="4" width="1.1796875" style="2" customWidth="1"/>
    <col min="5" max="5" width="9.36328125" style="194" customWidth="1"/>
    <col min="6" max="6" width="1.1796875" style="194" customWidth="1"/>
    <col min="7" max="7" width="8.36328125" style="271" customWidth="1"/>
    <col min="8" max="8" width="1.1796875" style="271" customWidth="1"/>
    <col min="9" max="9" width="14.453125" style="194" customWidth="1"/>
    <col min="10" max="10" width="1.1796875" style="1" customWidth="1" outlineLevel="1"/>
    <col min="11" max="11" width="36.6328125" style="193" customWidth="1" outlineLevel="1"/>
    <col min="12" max="12" width="4.1796875" style="41" customWidth="1"/>
    <col min="13" max="13" width="9.36328125" style="194" customWidth="1"/>
    <col min="14" max="14" width="1.1796875" style="194" customWidth="1"/>
    <col min="15" max="15" width="8.36328125" style="194" customWidth="1"/>
    <col min="16" max="16" width="1.1796875" style="194" customWidth="1"/>
    <col min="17" max="17" width="14.453125" style="194" customWidth="1"/>
    <col min="18" max="18" width="1.1796875" style="2" customWidth="1" outlineLevel="1"/>
    <col min="19" max="19" width="28.453125" style="286" customWidth="1" outlineLevel="1"/>
    <col min="20" max="20" width="4.1796875" style="41" customWidth="1"/>
    <col min="21" max="21" width="9.36328125" style="194" customWidth="1"/>
    <col min="22" max="22" width="1.1796875" style="194" customWidth="1"/>
    <col min="23" max="23" width="8.36328125" style="194" customWidth="1"/>
    <col min="24" max="24" width="1.1796875" style="194" customWidth="1"/>
    <col min="25" max="25" width="14.453125" style="243" customWidth="1"/>
    <col min="26" max="26" width="1.1796875" style="1" customWidth="1" outlineLevel="1"/>
    <col min="27" max="27" width="28.36328125" style="49" customWidth="1" outlineLevel="1"/>
    <col min="28" max="28" width="4.36328125" style="3" customWidth="1"/>
    <col min="29" max="29" width="8.7265625" style="3"/>
    <col min="30" max="16384" width="8.7265625" style="1"/>
  </cols>
  <sheetData>
    <row r="1" spans="1:29" ht="18.5" outlineLevel="1" thickBot="1" x14ac:dyDescent="0.35">
      <c r="A1" s="2"/>
      <c r="B1" s="301" t="s">
        <v>153</v>
      </c>
      <c r="C1" s="300"/>
      <c r="D1" s="300"/>
      <c r="E1" s="300"/>
      <c r="F1" s="300"/>
      <c r="G1" s="298"/>
      <c r="H1" s="298"/>
      <c r="I1" s="298"/>
      <c r="J1" s="299"/>
      <c r="K1" s="303"/>
      <c r="L1" s="4"/>
      <c r="M1" s="108" t="s">
        <v>101</v>
      </c>
      <c r="N1" s="107"/>
      <c r="O1" s="107"/>
      <c r="Y1" s="194"/>
      <c r="Z1" s="2"/>
      <c r="AA1" s="48"/>
    </row>
    <row r="2" spans="1:29" s="92" customFormat="1" ht="18" outlineLevel="1" x14ac:dyDescent="0.35">
      <c r="B2" s="368"/>
      <c r="C2" s="369"/>
      <c r="D2" s="52"/>
      <c r="E2" s="195"/>
      <c r="F2" s="195"/>
      <c r="G2" s="195"/>
      <c r="H2" s="195"/>
      <c r="I2" s="195"/>
      <c r="J2" s="52"/>
      <c r="K2" s="304"/>
      <c r="M2" s="102"/>
      <c r="O2" s="1" t="s">
        <v>99</v>
      </c>
      <c r="P2" s="195"/>
      <c r="Q2" s="195"/>
      <c r="R2" s="52"/>
      <c r="S2" s="287"/>
      <c r="U2" s="195"/>
      <c r="V2" s="195"/>
      <c r="W2" s="195"/>
      <c r="X2" s="195"/>
      <c r="Y2" s="195"/>
      <c r="Z2" s="52"/>
      <c r="AA2" s="52"/>
    </row>
    <row r="3" spans="1:29" s="92" customFormat="1" ht="23" outlineLevel="1" thickBot="1" x14ac:dyDescent="0.5">
      <c r="B3" s="370" t="s">
        <v>38</v>
      </c>
      <c r="C3" s="371"/>
      <c r="D3" s="94"/>
      <c r="E3" s="95"/>
      <c r="F3" s="96"/>
      <c r="G3" s="95"/>
      <c r="H3" s="196"/>
      <c r="I3" s="196"/>
      <c r="J3" s="21"/>
      <c r="K3" s="177"/>
      <c r="L3" s="21"/>
      <c r="M3" s="103"/>
      <c r="O3" s="21" t="s">
        <v>100</v>
      </c>
      <c r="P3" s="196"/>
      <c r="Q3" s="196"/>
      <c r="R3" s="21"/>
      <c r="S3" s="288"/>
      <c r="T3" s="21"/>
      <c r="U3" s="196"/>
      <c r="V3" s="196"/>
      <c r="W3" s="196"/>
      <c r="X3" s="196"/>
      <c r="Y3" s="196"/>
      <c r="Z3" s="21"/>
      <c r="AA3" s="21"/>
      <c r="AB3" s="21"/>
    </row>
    <row r="4" spans="1:29" s="92" customFormat="1" ht="22.5" outlineLevel="1" x14ac:dyDescent="0.45">
      <c r="B4" s="354" t="s">
        <v>39</v>
      </c>
      <c r="C4" s="359" t="str">
        <f>'Site Base Data'!C4</f>
        <v>Michigan</v>
      </c>
      <c r="D4" s="44"/>
      <c r="E4" s="95"/>
      <c r="F4" s="96"/>
      <c r="G4" s="95"/>
      <c r="H4" s="196"/>
      <c r="I4" s="197"/>
      <c r="J4" s="21"/>
      <c r="K4" s="177"/>
      <c r="L4" s="20"/>
      <c r="M4" s="305"/>
      <c r="O4" s="21"/>
      <c r="P4" s="196"/>
      <c r="Q4" s="197"/>
      <c r="R4" s="52"/>
      <c r="S4" s="287"/>
      <c r="U4" s="195"/>
      <c r="V4" s="195"/>
      <c r="W4" s="195"/>
      <c r="X4" s="195"/>
      <c r="Y4" s="195"/>
      <c r="Z4" s="52"/>
      <c r="AA4" s="52"/>
    </row>
    <row r="5" spans="1:29" s="92" customFormat="1" ht="15.5" outlineLevel="1" x14ac:dyDescent="0.35">
      <c r="B5" s="356" t="s">
        <v>40</v>
      </c>
      <c r="C5" s="360" t="str">
        <f>'Site Base Data'!C5</f>
        <v>Michigan &amp; 117th</v>
      </c>
      <c r="D5" s="84"/>
      <c r="E5" s="173"/>
      <c r="F5" s="173"/>
      <c r="G5" s="173"/>
      <c r="H5" s="196"/>
      <c r="I5" s="196"/>
      <c r="J5" s="21"/>
      <c r="K5" s="177"/>
      <c r="L5" s="21"/>
      <c r="M5" s="21"/>
      <c r="O5" s="21"/>
      <c r="P5" s="196"/>
      <c r="Q5" s="197"/>
      <c r="R5" s="52"/>
      <c r="S5" s="287"/>
      <c r="U5" s="195"/>
      <c r="V5" s="195"/>
      <c r="W5" s="195"/>
      <c r="X5" s="195"/>
      <c r="Y5" s="195"/>
      <c r="Z5" s="52"/>
      <c r="AA5" s="52"/>
    </row>
    <row r="6" spans="1:29" s="92" customFormat="1" ht="16" outlineLevel="1" thickBot="1" x14ac:dyDescent="0.4">
      <c r="B6" s="358" t="s">
        <v>2</v>
      </c>
      <c r="C6" s="361">
        <f>'Site Base Data'!C6</f>
        <v>2</v>
      </c>
      <c r="D6" s="88"/>
      <c r="E6" s="85"/>
      <c r="F6" s="85"/>
      <c r="G6" s="85"/>
      <c r="H6" s="245"/>
      <c r="I6" s="171"/>
      <c r="J6" s="89"/>
      <c r="K6" s="178"/>
      <c r="L6" s="89"/>
      <c r="M6" s="95"/>
      <c r="O6" s="21"/>
      <c r="P6" s="196"/>
      <c r="Q6" s="197"/>
      <c r="R6" s="52"/>
      <c r="S6" s="287"/>
      <c r="U6" s="195"/>
      <c r="V6" s="195"/>
      <c r="W6" s="195"/>
      <c r="X6" s="195"/>
      <c r="Y6" s="195"/>
      <c r="Z6" s="52"/>
      <c r="AA6" s="52"/>
    </row>
    <row r="7" spans="1:29" s="92" customFormat="1" ht="15.5" outlineLevel="1" x14ac:dyDescent="0.35">
      <c r="B7" s="91"/>
      <c r="C7" s="272"/>
      <c r="D7" s="40"/>
      <c r="E7" s="76"/>
      <c r="F7" s="243"/>
      <c r="G7" s="248"/>
      <c r="H7" s="196"/>
      <c r="I7" s="196"/>
      <c r="J7" s="21"/>
      <c r="K7" s="177"/>
      <c r="L7" s="21"/>
      <c r="M7" s="1"/>
      <c r="O7" s="1"/>
      <c r="P7" s="196"/>
      <c r="Q7" s="196"/>
      <c r="R7" s="52"/>
      <c r="S7" s="287"/>
      <c r="U7" s="195"/>
      <c r="V7" s="195"/>
      <c r="W7" s="195"/>
      <c r="X7" s="195"/>
      <c r="Y7" s="195"/>
      <c r="Z7" s="52"/>
      <c r="AA7" s="52"/>
    </row>
    <row r="8" spans="1:29" s="92" customFormat="1" ht="15.5" x14ac:dyDescent="0.35">
      <c r="C8" s="195"/>
      <c r="D8" s="52"/>
      <c r="E8" s="414" t="s">
        <v>123</v>
      </c>
      <c r="F8" s="414"/>
      <c r="G8" s="414"/>
      <c r="H8" s="418"/>
      <c r="I8" s="418"/>
      <c r="J8" s="418"/>
      <c r="K8" s="418"/>
      <c r="M8" s="417" t="s">
        <v>138</v>
      </c>
      <c r="N8" s="417"/>
      <c r="O8" s="417"/>
      <c r="P8" s="418"/>
      <c r="Q8" s="418"/>
      <c r="R8" s="418"/>
      <c r="S8" s="418"/>
      <c r="U8" s="417" t="s">
        <v>150</v>
      </c>
      <c r="V8" s="417"/>
      <c r="W8" s="417"/>
      <c r="X8" s="418"/>
      <c r="Y8" s="418"/>
      <c r="Z8" s="418"/>
      <c r="AA8" s="418"/>
    </row>
    <row r="9" spans="1:29" ht="15.5" x14ac:dyDescent="0.35">
      <c r="C9" s="273"/>
      <c r="D9" s="39"/>
      <c r="E9" s="422" t="s">
        <v>22</v>
      </c>
      <c r="F9" s="422"/>
      <c r="G9" s="422"/>
      <c r="H9" s="422"/>
      <c r="I9" s="422"/>
      <c r="J9" s="422"/>
      <c r="K9" s="422"/>
      <c r="M9" s="422" t="s">
        <v>22</v>
      </c>
      <c r="N9" s="422"/>
      <c r="O9" s="422"/>
      <c r="P9" s="422"/>
      <c r="Q9" s="422"/>
      <c r="R9" s="422"/>
      <c r="S9" s="422"/>
      <c r="U9" s="422" t="s">
        <v>22</v>
      </c>
      <c r="V9" s="422"/>
      <c r="W9" s="422"/>
      <c r="X9" s="422"/>
      <c r="Y9" s="422"/>
      <c r="Z9" s="422"/>
      <c r="AA9" s="422"/>
    </row>
    <row r="10" spans="1:29" ht="15.5" x14ac:dyDescent="0.35">
      <c r="C10" s="274" t="s">
        <v>3</v>
      </c>
      <c r="D10" s="11"/>
      <c r="E10" s="95"/>
      <c r="F10" s="95"/>
      <c r="G10" s="94"/>
      <c r="H10" s="94"/>
      <c r="I10" s="95"/>
      <c r="J10" s="5"/>
      <c r="K10" s="112"/>
      <c r="M10" s="217"/>
      <c r="N10" s="217"/>
      <c r="O10" s="94"/>
      <c r="P10" s="95"/>
      <c r="Q10" s="95"/>
      <c r="R10" s="11"/>
      <c r="U10" s="217"/>
      <c r="V10" s="217"/>
      <c r="W10" s="94"/>
      <c r="X10" s="95"/>
      <c r="Y10" s="95"/>
      <c r="Z10" s="11"/>
      <c r="AA10" s="48"/>
    </row>
    <row r="11" spans="1:29" s="76" customFormat="1" ht="69" thickBot="1" x14ac:dyDescent="0.7">
      <c r="C11" s="121"/>
      <c r="D11" s="122"/>
      <c r="E11" s="130" t="s">
        <v>69</v>
      </c>
      <c r="F11" s="122"/>
      <c r="G11" s="131" t="s">
        <v>0</v>
      </c>
      <c r="H11" s="123"/>
      <c r="I11" s="122" t="s">
        <v>23</v>
      </c>
      <c r="J11" s="124"/>
      <c r="K11" s="132" t="s">
        <v>109</v>
      </c>
      <c r="L11" s="125"/>
      <c r="M11" s="149" t="s">
        <v>69</v>
      </c>
      <c r="N11" s="149"/>
      <c r="O11" s="131" t="s">
        <v>0</v>
      </c>
      <c r="P11" s="122"/>
      <c r="Q11" s="122" t="s">
        <v>23</v>
      </c>
      <c r="R11" s="126"/>
      <c r="S11" s="150" t="str">
        <f>'Site Base Data'!E11</f>
        <v>Multi-family</v>
      </c>
      <c r="T11" s="125"/>
      <c r="U11" s="149" t="s">
        <v>69</v>
      </c>
      <c r="V11" s="149"/>
      <c r="W11" s="131" t="s">
        <v>0</v>
      </c>
      <c r="X11" s="122"/>
      <c r="Y11" s="122" t="s">
        <v>23</v>
      </c>
      <c r="Z11" s="126"/>
      <c r="AA11" s="150" t="str">
        <f>'Site Base Data'!F11</f>
        <v>8 Flat</v>
      </c>
      <c r="AB11" s="316"/>
      <c r="AC11" s="316"/>
    </row>
    <row r="12" spans="1:29" x14ac:dyDescent="0.3">
      <c r="C12" s="275" t="s">
        <v>25</v>
      </c>
      <c r="D12" s="11"/>
      <c r="E12" s="249"/>
      <c r="F12" s="198"/>
      <c r="G12" s="232"/>
      <c r="H12" s="232"/>
      <c r="I12" s="198"/>
      <c r="J12" s="134"/>
      <c r="K12" s="179"/>
      <c r="L12" s="4"/>
      <c r="M12" s="218"/>
      <c r="N12" s="231"/>
      <c r="O12" s="232"/>
      <c r="P12" s="198"/>
      <c r="Q12" s="198"/>
      <c r="R12" s="133"/>
      <c r="S12" s="289"/>
      <c r="T12" s="4"/>
      <c r="U12" s="218"/>
      <c r="V12" s="231"/>
      <c r="W12" s="232"/>
      <c r="X12" s="198"/>
      <c r="Y12" s="198"/>
      <c r="Z12" s="133"/>
      <c r="AA12" s="151"/>
    </row>
    <row r="13" spans="1:29" ht="39" x14ac:dyDescent="0.3">
      <c r="C13" s="276" t="s">
        <v>50</v>
      </c>
      <c r="D13" s="12"/>
      <c r="E13" s="219"/>
      <c r="F13" s="204"/>
      <c r="G13" s="204"/>
      <c r="H13" s="204"/>
      <c r="I13" s="323" t="s">
        <v>140</v>
      </c>
      <c r="J13" s="135"/>
      <c r="K13" s="380" t="s">
        <v>141</v>
      </c>
      <c r="L13" s="4"/>
      <c r="M13" s="219"/>
      <c r="N13" s="204"/>
      <c r="O13" s="204"/>
      <c r="P13" s="204"/>
      <c r="Q13" s="323" t="s">
        <v>140</v>
      </c>
      <c r="R13" s="16"/>
      <c r="S13" s="285" t="s">
        <v>151</v>
      </c>
      <c r="T13" s="4"/>
      <c r="U13" s="219"/>
      <c r="V13" s="204"/>
      <c r="W13" s="204"/>
      <c r="X13" s="204"/>
      <c r="Y13" s="323" t="s">
        <v>140</v>
      </c>
      <c r="Z13" s="16"/>
      <c r="AA13" s="285" t="s">
        <v>151</v>
      </c>
    </row>
    <row r="14" spans="1:29" x14ac:dyDescent="0.3">
      <c r="C14" s="277" t="s">
        <v>68</v>
      </c>
      <c r="D14" s="13"/>
      <c r="E14" s="250"/>
      <c r="F14" s="200"/>
      <c r="G14" s="251"/>
      <c r="H14" s="251"/>
      <c r="I14" s="200"/>
      <c r="J14" s="136"/>
      <c r="K14" s="180"/>
      <c r="L14" s="4"/>
      <c r="M14" s="219"/>
      <c r="N14" s="204"/>
      <c r="O14" s="204"/>
      <c r="P14" s="204"/>
      <c r="Q14" s="204"/>
      <c r="R14" s="4"/>
      <c r="S14" s="285"/>
      <c r="T14" s="4"/>
      <c r="U14" s="219"/>
      <c r="V14" s="204"/>
      <c r="W14" s="204"/>
      <c r="X14" s="204"/>
      <c r="Y14" s="204"/>
      <c r="Z14" s="4"/>
      <c r="AA14" s="152"/>
    </row>
    <row r="15" spans="1:29" x14ac:dyDescent="0.3">
      <c r="C15" s="278"/>
      <c r="D15" s="12"/>
      <c r="E15" s="252"/>
      <c r="F15" s="201"/>
      <c r="G15" s="253"/>
      <c r="H15" s="253"/>
      <c r="I15" s="201"/>
      <c r="J15" s="160"/>
      <c r="K15" s="181"/>
      <c r="L15" s="4"/>
      <c r="M15" s="220"/>
      <c r="N15" s="212"/>
      <c r="O15" s="212"/>
      <c r="P15" s="212"/>
      <c r="Q15" s="212"/>
      <c r="R15" s="163"/>
      <c r="S15" s="290"/>
      <c r="T15" s="4"/>
      <c r="U15" s="219"/>
      <c r="V15" s="204"/>
      <c r="W15" s="204"/>
      <c r="X15" s="204"/>
      <c r="Y15" s="204"/>
      <c r="Z15" s="4"/>
      <c r="AA15" s="152"/>
    </row>
    <row r="16" spans="1:29" x14ac:dyDescent="0.3">
      <c r="C16" s="275" t="s">
        <v>24</v>
      </c>
      <c r="D16" s="12"/>
      <c r="E16" s="254"/>
      <c r="F16" s="202"/>
      <c r="G16" s="255"/>
      <c r="H16" s="255"/>
      <c r="I16" s="202"/>
      <c r="J16" s="161"/>
      <c r="K16" s="182"/>
      <c r="L16" s="4"/>
      <c r="M16" s="221"/>
      <c r="N16" s="213"/>
      <c r="O16" s="213"/>
      <c r="P16" s="213"/>
      <c r="Q16" s="213"/>
      <c r="R16" s="164"/>
      <c r="S16" s="291"/>
      <c r="T16" s="4"/>
      <c r="U16" s="221"/>
      <c r="V16" s="213"/>
      <c r="W16" s="213"/>
      <c r="X16" s="213"/>
      <c r="Y16" s="213"/>
      <c r="Z16" s="164"/>
      <c r="AA16" s="318"/>
    </row>
    <row r="17" spans="3:29" ht="39" x14ac:dyDescent="0.3">
      <c r="C17" s="279" t="s">
        <v>64</v>
      </c>
      <c r="D17" s="12"/>
      <c r="E17" s="223" t="s">
        <v>121</v>
      </c>
      <c r="F17" s="233"/>
      <c r="G17" s="234">
        <f>'Site Base Data'!$D$9</f>
        <v>25873</v>
      </c>
      <c r="H17" s="233"/>
      <c r="I17" s="323" t="s">
        <v>140</v>
      </c>
      <c r="J17" s="120"/>
      <c r="K17" s="137" t="s">
        <v>143</v>
      </c>
      <c r="L17" s="4"/>
      <c r="M17" s="222"/>
      <c r="N17" s="199"/>
      <c r="O17" s="233">
        <v>0</v>
      </c>
      <c r="P17" s="204"/>
      <c r="Q17" s="323" t="s">
        <v>140</v>
      </c>
      <c r="R17" s="4"/>
      <c r="S17" s="137" t="s">
        <v>110</v>
      </c>
      <c r="T17" s="4"/>
      <c r="U17" s="222"/>
      <c r="V17" s="199"/>
      <c r="W17" s="233">
        <v>0</v>
      </c>
      <c r="X17" s="204"/>
      <c r="Y17" s="323" t="s">
        <v>140</v>
      </c>
      <c r="Z17" s="4"/>
      <c r="AA17" s="137" t="s">
        <v>110</v>
      </c>
    </row>
    <row r="18" spans="3:29" ht="39" x14ac:dyDescent="0.3">
      <c r="C18" s="279" t="s">
        <v>51</v>
      </c>
      <c r="D18" s="12"/>
      <c r="E18" s="223" t="s">
        <v>121</v>
      </c>
      <c r="F18" s="233"/>
      <c r="G18" s="234">
        <f>'Site Base Data'!$D$9</f>
        <v>25873</v>
      </c>
      <c r="H18" s="233"/>
      <c r="I18" s="199">
        <v>25000</v>
      </c>
      <c r="J18" s="138"/>
      <c r="K18" s="137" t="s">
        <v>144</v>
      </c>
      <c r="L18" s="4"/>
      <c r="M18" s="223" t="s">
        <v>121</v>
      </c>
      <c r="N18" s="204"/>
      <c r="O18" s="233">
        <v>0</v>
      </c>
      <c r="P18" s="204"/>
      <c r="Q18" s="199">
        <v>20000</v>
      </c>
      <c r="R18" s="138"/>
      <c r="S18" s="137" t="s">
        <v>124</v>
      </c>
      <c r="T18" s="4"/>
      <c r="U18" s="223" t="s">
        <v>121</v>
      </c>
      <c r="V18" s="204"/>
      <c r="W18" s="233">
        <v>0</v>
      </c>
      <c r="X18" s="204"/>
      <c r="Y18" s="199">
        <v>10000</v>
      </c>
      <c r="Z18" s="138"/>
      <c r="AA18" s="137" t="s">
        <v>124</v>
      </c>
    </row>
    <row r="19" spans="3:29" x14ac:dyDescent="0.3">
      <c r="C19" s="279" t="s">
        <v>102</v>
      </c>
      <c r="D19" s="12"/>
      <c r="E19" s="223" t="s">
        <v>121</v>
      </c>
      <c r="F19" s="233"/>
      <c r="G19" s="234">
        <f>'Site Base Data'!$D$9</f>
        <v>25873</v>
      </c>
      <c r="H19" s="233"/>
      <c r="I19" s="199">
        <v>25000</v>
      </c>
      <c r="J19" s="138"/>
      <c r="K19" s="137" t="s">
        <v>145</v>
      </c>
      <c r="L19" s="4"/>
      <c r="M19" s="223" t="s">
        <v>121</v>
      </c>
      <c r="N19" s="204"/>
      <c r="O19" s="234">
        <f>'Site Base Data'!E9</f>
        <v>18075</v>
      </c>
      <c r="P19" s="204"/>
      <c r="Q19" s="199">
        <v>20000</v>
      </c>
      <c r="R19" s="4"/>
      <c r="S19" s="137" t="s">
        <v>122</v>
      </c>
      <c r="T19" s="4"/>
      <c r="U19" s="219"/>
      <c r="V19" s="204"/>
      <c r="W19" s="234">
        <f>'Site Base Data'!F9</f>
        <v>4040</v>
      </c>
      <c r="X19" s="204"/>
      <c r="Y19" s="199">
        <v>15000</v>
      </c>
      <c r="Z19" s="4"/>
      <c r="AA19" s="139" t="s">
        <v>122</v>
      </c>
    </row>
    <row r="20" spans="3:29" x14ac:dyDescent="0.3">
      <c r="C20" s="279" t="s">
        <v>57</v>
      </c>
      <c r="D20" s="12"/>
      <c r="E20" s="224">
        <v>0</v>
      </c>
      <c r="F20" s="233"/>
      <c r="G20" s="233">
        <v>0</v>
      </c>
      <c r="H20" s="233"/>
      <c r="I20" s="199">
        <f>G20*E20</f>
        <v>0</v>
      </c>
      <c r="J20" s="138"/>
      <c r="K20" s="137" t="s">
        <v>146</v>
      </c>
      <c r="L20" s="4"/>
      <c r="M20" s="224">
        <v>400</v>
      </c>
      <c r="N20" s="204"/>
      <c r="O20" s="306">
        <f>'Site Base Data'!E22</f>
        <v>38715</v>
      </c>
      <c r="P20" s="204"/>
      <c r="Q20" s="199">
        <f>O20*$M20</f>
        <v>15486000</v>
      </c>
      <c r="R20" s="114"/>
      <c r="S20" s="285"/>
      <c r="T20" s="4"/>
      <c r="U20" s="229">
        <f>M20</f>
        <v>400</v>
      </c>
      <c r="V20" s="204"/>
      <c r="W20" s="306">
        <f>'Site Base Data'!F22</f>
        <v>13120</v>
      </c>
      <c r="X20" s="204"/>
      <c r="Y20" s="199">
        <f>W20*$U20</f>
        <v>5248000</v>
      </c>
      <c r="Z20" s="114"/>
      <c r="AA20" s="152"/>
    </row>
    <row r="21" spans="3:29" ht="26" x14ac:dyDescent="0.3">
      <c r="C21" s="279" t="s">
        <v>96</v>
      </c>
      <c r="D21" s="12"/>
      <c r="E21" s="222">
        <v>15</v>
      </c>
      <c r="F21" s="199"/>
      <c r="G21" s="234">
        <f>'Site Base Data'!$D$9</f>
        <v>25873</v>
      </c>
      <c r="H21" s="233"/>
      <c r="I21" s="199">
        <f>G21*E21</f>
        <v>388095</v>
      </c>
      <c r="J21" s="3"/>
      <c r="K21" s="137" t="s">
        <v>147</v>
      </c>
      <c r="L21" s="4"/>
      <c r="M21" s="222">
        <v>25</v>
      </c>
      <c r="N21" s="204"/>
      <c r="O21" s="306">
        <f>('Site Base Data'!E9-'Site Base Data'!E13)</f>
        <v>8565</v>
      </c>
      <c r="P21" s="204"/>
      <c r="Q21" s="199">
        <f>O21*$M21</f>
        <v>214125</v>
      </c>
      <c r="R21" s="114"/>
      <c r="S21" s="285"/>
      <c r="T21" s="4"/>
      <c r="U21" s="229">
        <f t="shared" ref="U21:U24" si="0">M21</f>
        <v>25</v>
      </c>
      <c r="V21" s="204"/>
      <c r="W21" s="306">
        <f>('Site Base Data'!F9-'Site Base Data'!F13)</f>
        <v>760</v>
      </c>
      <c r="X21" s="204"/>
      <c r="Y21" s="199">
        <f>W21*$U21</f>
        <v>19000</v>
      </c>
      <c r="Z21" s="114"/>
      <c r="AA21" s="152"/>
    </row>
    <row r="22" spans="3:29" x14ac:dyDescent="0.3">
      <c r="C22" s="279" t="s">
        <v>76</v>
      </c>
      <c r="D22" s="12"/>
      <c r="E22" s="222">
        <v>0</v>
      </c>
      <c r="F22" s="199"/>
      <c r="G22" s="234">
        <f>'Site Base Data'!$D35</f>
        <v>13140</v>
      </c>
      <c r="H22" s="233"/>
      <c r="I22" s="199">
        <f>G22*E22</f>
        <v>0</v>
      </c>
      <c r="J22" s="3"/>
      <c r="K22" s="137" t="s">
        <v>79</v>
      </c>
      <c r="L22" s="4"/>
      <c r="M22" s="222">
        <v>25</v>
      </c>
      <c r="N22" s="204"/>
      <c r="O22" s="307">
        <f>'Site Base Data'!E35</f>
        <v>8475</v>
      </c>
      <c r="P22" s="204"/>
      <c r="Q22" s="199">
        <f>O22*$M22</f>
        <v>211875</v>
      </c>
      <c r="R22" s="114"/>
      <c r="S22" s="285"/>
      <c r="T22" s="4"/>
      <c r="U22" s="229">
        <f t="shared" si="0"/>
        <v>25</v>
      </c>
      <c r="V22" s="204"/>
      <c r="W22" s="307">
        <f>'Site Base Data'!F35</f>
        <v>4665</v>
      </c>
      <c r="X22" s="204"/>
      <c r="Y22" s="199">
        <f>W22*$U22</f>
        <v>116625</v>
      </c>
      <c r="Z22" s="114"/>
      <c r="AA22" s="152"/>
    </row>
    <row r="23" spans="3:29" ht="26" x14ac:dyDescent="0.3">
      <c r="C23" s="279" t="s">
        <v>77</v>
      </c>
      <c r="D23" s="12"/>
      <c r="E23" s="222">
        <v>10</v>
      </c>
      <c r="F23" s="199"/>
      <c r="G23" s="234">
        <f>'Site Base Data'!$D36</f>
        <v>4460</v>
      </c>
      <c r="H23" s="233"/>
      <c r="I23" s="199">
        <f>G23*E23</f>
        <v>44600</v>
      </c>
      <c r="J23" s="3"/>
      <c r="K23" s="137" t="s">
        <v>148</v>
      </c>
      <c r="L23" s="4"/>
      <c r="M23" s="222">
        <v>25</v>
      </c>
      <c r="N23" s="204"/>
      <c r="O23" s="308">
        <f>'Site Base Data'!E36</f>
        <v>4460</v>
      </c>
      <c r="P23" s="204"/>
      <c r="Q23" s="199">
        <f>O23*$M23</f>
        <v>111500</v>
      </c>
      <c r="R23" s="114"/>
      <c r="S23" s="285"/>
      <c r="T23" s="4"/>
      <c r="U23" s="229">
        <f t="shared" si="0"/>
        <v>25</v>
      </c>
      <c r="V23" s="204"/>
      <c r="W23" s="308">
        <f>'Site Base Data'!F36</f>
        <v>0</v>
      </c>
      <c r="X23" s="204"/>
      <c r="Y23" s="199">
        <f>W23*$U23</f>
        <v>0</v>
      </c>
      <c r="Z23" s="114"/>
      <c r="AA23" s="152"/>
    </row>
    <row r="24" spans="3:29" ht="26" x14ac:dyDescent="0.3">
      <c r="C24" s="279" t="s">
        <v>78</v>
      </c>
      <c r="D24" s="12"/>
      <c r="E24" s="222">
        <v>5</v>
      </c>
      <c r="F24" s="199"/>
      <c r="G24" s="234">
        <f>'Site Base Data'!$D37</f>
        <v>14810</v>
      </c>
      <c r="H24" s="233"/>
      <c r="I24" s="199">
        <f>G24*E24</f>
        <v>74050</v>
      </c>
      <c r="J24" s="120"/>
      <c r="K24" s="137" t="s">
        <v>149</v>
      </c>
      <c r="L24" s="4"/>
      <c r="M24" s="222">
        <v>10</v>
      </c>
      <c r="N24" s="204"/>
      <c r="O24" s="309">
        <f>'Site Base Data'!E37</f>
        <v>12395</v>
      </c>
      <c r="P24" s="204"/>
      <c r="Q24" s="199">
        <f>O24*$M24</f>
        <v>123950</v>
      </c>
      <c r="R24" s="114"/>
      <c r="S24" s="285" t="s">
        <v>152</v>
      </c>
      <c r="T24" s="4"/>
      <c r="U24" s="229">
        <f t="shared" si="0"/>
        <v>10</v>
      </c>
      <c r="V24" s="204"/>
      <c r="W24" s="309">
        <f>'Site Base Data'!F37</f>
        <v>2415</v>
      </c>
      <c r="X24" s="204"/>
      <c r="Y24" s="199">
        <f>W24*$U24</f>
        <v>24150</v>
      </c>
      <c r="Z24" s="114"/>
      <c r="AA24" s="285" t="s">
        <v>152</v>
      </c>
    </row>
    <row r="25" spans="3:29" x14ac:dyDescent="0.3">
      <c r="C25" s="280" t="s">
        <v>115</v>
      </c>
      <c r="D25" s="36"/>
      <c r="E25" s="256"/>
      <c r="F25" s="257"/>
      <c r="G25" s="258"/>
      <c r="H25" s="258"/>
      <c r="I25" s="203">
        <f>ROUNDUP(SUM(I17:I24), -2)</f>
        <v>556800</v>
      </c>
      <c r="J25" s="3"/>
      <c r="K25" s="183"/>
      <c r="L25" s="4"/>
      <c r="M25" s="219"/>
      <c r="N25" s="204"/>
      <c r="O25" s="204"/>
      <c r="P25" s="204"/>
      <c r="Q25" s="214">
        <f>ROUND(SUM(Q17:Q24), -2)</f>
        <v>16187500</v>
      </c>
      <c r="R25" s="141"/>
      <c r="S25" s="285"/>
      <c r="T25" s="4"/>
      <c r="U25" s="219"/>
      <c r="V25" s="204"/>
      <c r="W25" s="204"/>
      <c r="X25" s="204"/>
      <c r="Y25" s="214">
        <f>ROUND(SUM(Y17:Y24), -2)</f>
        <v>5432800</v>
      </c>
      <c r="Z25" s="141"/>
      <c r="AA25" s="152"/>
    </row>
    <row r="26" spans="3:29" x14ac:dyDescent="0.3">
      <c r="E26" s="219"/>
      <c r="F26" s="204"/>
      <c r="G26" s="259"/>
      <c r="H26" s="259"/>
      <c r="I26" s="204"/>
      <c r="J26" s="3"/>
      <c r="K26" s="183"/>
      <c r="L26" s="4"/>
      <c r="M26" s="219"/>
      <c r="N26" s="204"/>
      <c r="O26" s="204"/>
      <c r="P26" s="204"/>
      <c r="Q26" s="204"/>
      <c r="R26" s="4"/>
      <c r="S26" s="285"/>
      <c r="T26" s="4"/>
      <c r="U26" s="219"/>
      <c r="V26" s="204"/>
      <c r="W26" s="204"/>
      <c r="X26" s="204"/>
      <c r="Y26" s="204"/>
      <c r="Z26" s="4"/>
      <c r="AA26" s="152"/>
    </row>
    <row r="27" spans="3:29" x14ac:dyDescent="0.3">
      <c r="C27" s="279" t="s">
        <v>58</v>
      </c>
      <c r="D27" s="12"/>
      <c r="E27" s="260">
        <v>0.03</v>
      </c>
      <c r="F27" s="199"/>
      <c r="G27" s="233"/>
      <c r="H27" s="233"/>
      <c r="I27" s="205">
        <f>SUM($E27*$I$25)</f>
        <v>16704</v>
      </c>
      <c r="J27" s="120"/>
      <c r="K27" s="184"/>
      <c r="L27" s="4"/>
      <c r="M27" s="225"/>
      <c r="N27" s="235"/>
      <c r="O27" s="204"/>
      <c r="P27" s="204"/>
      <c r="Q27" s="205">
        <f>SUM($E27*Q$25)</f>
        <v>485625</v>
      </c>
      <c r="R27" s="140"/>
      <c r="S27" s="285"/>
      <c r="T27" s="4"/>
      <c r="U27" s="225"/>
      <c r="V27" s="235"/>
      <c r="W27" s="204"/>
      <c r="X27" s="204"/>
      <c r="Y27" s="205">
        <f>SUM($E27*Y$25)</f>
        <v>162984</v>
      </c>
      <c r="Z27" s="140"/>
      <c r="AA27" s="152"/>
    </row>
    <row r="28" spans="3:29" x14ac:dyDescent="0.3">
      <c r="C28" s="279" t="s">
        <v>52</v>
      </c>
      <c r="D28" s="12"/>
      <c r="E28" s="260">
        <v>0.06</v>
      </c>
      <c r="F28" s="199"/>
      <c r="G28" s="233"/>
      <c r="H28" s="233"/>
      <c r="I28" s="205">
        <f t="shared" ref="I28:I33" si="1">SUM(E28*$I$25)</f>
        <v>33408</v>
      </c>
      <c r="J28" s="120"/>
      <c r="K28" s="184"/>
      <c r="L28" s="4"/>
      <c r="M28" s="225"/>
      <c r="N28" s="235"/>
      <c r="O28" s="204"/>
      <c r="P28" s="204"/>
      <c r="Q28" s="205">
        <f t="shared" ref="Q28:Q34" si="2">SUM($E28*Q$25)</f>
        <v>971250</v>
      </c>
      <c r="R28" s="140"/>
      <c r="S28" s="285"/>
      <c r="T28" s="4"/>
      <c r="U28" s="225"/>
      <c r="V28" s="235"/>
      <c r="W28" s="204"/>
      <c r="X28" s="204"/>
      <c r="Y28" s="205">
        <f t="shared" ref="Y28:Y33" si="3">SUM($E28*Y$25)</f>
        <v>325968</v>
      </c>
      <c r="Z28" s="140"/>
      <c r="AA28" s="152"/>
    </row>
    <row r="29" spans="3:29" x14ac:dyDescent="0.3">
      <c r="C29" s="279" t="s">
        <v>59</v>
      </c>
      <c r="D29" s="13"/>
      <c r="E29" s="261">
        <v>0.03</v>
      </c>
      <c r="F29" s="200"/>
      <c r="G29" s="251"/>
      <c r="H29" s="251"/>
      <c r="I29" s="205">
        <f t="shared" si="1"/>
        <v>16704</v>
      </c>
      <c r="J29" s="3"/>
      <c r="K29" s="183"/>
      <c r="L29" s="4"/>
      <c r="M29" s="225"/>
      <c r="N29" s="235"/>
      <c r="O29" s="204"/>
      <c r="P29" s="204"/>
      <c r="Q29" s="205">
        <f t="shared" si="2"/>
        <v>485625</v>
      </c>
      <c r="R29" s="140"/>
      <c r="S29" s="285"/>
      <c r="T29" s="4"/>
      <c r="U29" s="225"/>
      <c r="V29" s="235"/>
      <c r="W29" s="204"/>
      <c r="X29" s="204"/>
      <c r="Y29" s="205">
        <f t="shared" si="3"/>
        <v>162984</v>
      </c>
      <c r="Z29" s="140"/>
      <c r="AA29" s="152"/>
    </row>
    <row r="30" spans="3:29" s="2" customFormat="1" x14ac:dyDescent="0.3">
      <c r="C30" s="279" t="s">
        <v>60</v>
      </c>
      <c r="D30" s="13"/>
      <c r="E30" s="261">
        <v>0.01</v>
      </c>
      <c r="F30" s="200"/>
      <c r="G30" s="251"/>
      <c r="H30" s="251"/>
      <c r="I30" s="205">
        <f t="shared" si="1"/>
        <v>5568</v>
      </c>
      <c r="J30" s="4"/>
      <c r="K30" s="137"/>
      <c r="L30" s="4"/>
      <c r="M30" s="225"/>
      <c r="N30" s="235"/>
      <c r="O30" s="236"/>
      <c r="P30" s="204"/>
      <c r="Q30" s="205">
        <f t="shared" si="2"/>
        <v>161875</v>
      </c>
      <c r="R30" s="140"/>
      <c r="S30" s="285"/>
      <c r="T30" s="4"/>
      <c r="U30" s="225"/>
      <c r="V30" s="235"/>
      <c r="W30" s="236"/>
      <c r="X30" s="204"/>
      <c r="Y30" s="205">
        <f t="shared" si="3"/>
        <v>54328</v>
      </c>
      <c r="Z30" s="140"/>
      <c r="AA30" s="152"/>
      <c r="AB30" s="4"/>
      <c r="AC30" s="4"/>
    </row>
    <row r="31" spans="3:29" x14ac:dyDescent="0.3">
      <c r="C31" s="279" t="s">
        <v>61</v>
      </c>
      <c r="D31" s="12"/>
      <c r="E31" s="260">
        <v>0.01</v>
      </c>
      <c r="F31" s="199"/>
      <c r="G31" s="233"/>
      <c r="H31" s="233"/>
      <c r="I31" s="205">
        <f t="shared" si="1"/>
        <v>5568</v>
      </c>
      <c r="J31" s="120"/>
      <c r="K31" s="184"/>
      <c r="L31" s="4"/>
      <c r="M31" s="225"/>
      <c r="N31" s="235"/>
      <c r="O31" s="204"/>
      <c r="P31" s="204"/>
      <c r="Q31" s="205">
        <f t="shared" si="2"/>
        <v>161875</v>
      </c>
      <c r="R31" s="140"/>
      <c r="S31" s="285"/>
      <c r="T31" s="4"/>
      <c r="U31" s="225"/>
      <c r="V31" s="235"/>
      <c r="W31" s="204"/>
      <c r="X31" s="204"/>
      <c r="Y31" s="205">
        <f t="shared" si="3"/>
        <v>54328</v>
      </c>
      <c r="Z31" s="140"/>
      <c r="AA31" s="152"/>
    </row>
    <row r="32" spans="3:29" x14ac:dyDescent="0.3">
      <c r="C32" s="279" t="s">
        <v>62</v>
      </c>
      <c r="D32" s="12"/>
      <c r="E32" s="260">
        <v>7.4999999999999997E-2</v>
      </c>
      <c r="F32" s="199"/>
      <c r="G32" s="233"/>
      <c r="H32" s="233"/>
      <c r="I32" s="205">
        <f t="shared" si="1"/>
        <v>41760</v>
      </c>
      <c r="J32" s="120"/>
      <c r="K32" s="184"/>
      <c r="L32" s="4"/>
      <c r="M32" s="225"/>
      <c r="N32" s="235"/>
      <c r="O32" s="204"/>
      <c r="P32" s="204"/>
      <c r="Q32" s="205">
        <f t="shared" si="2"/>
        <v>1214062.5</v>
      </c>
      <c r="R32" s="140"/>
      <c r="S32" s="285"/>
      <c r="T32" s="4"/>
      <c r="U32" s="225"/>
      <c r="V32" s="235"/>
      <c r="W32" s="204"/>
      <c r="X32" s="204"/>
      <c r="Y32" s="205">
        <f t="shared" si="3"/>
        <v>407460</v>
      </c>
      <c r="Z32" s="140"/>
      <c r="AA32" s="152"/>
    </row>
    <row r="33" spans="3:29" x14ac:dyDescent="0.3">
      <c r="C33" s="279" t="s">
        <v>63</v>
      </c>
      <c r="D33" s="12"/>
      <c r="E33" s="260">
        <v>8.0000000000000002E-3</v>
      </c>
      <c r="F33" s="199"/>
      <c r="G33" s="233"/>
      <c r="H33" s="233"/>
      <c r="I33" s="205">
        <f t="shared" si="1"/>
        <v>4454.4000000000005</v>
      </c>
      <c r="J33" s="120"/>
      <c r="K33" s="185" t="s">
        <v>120</v>
      </c>
      <c r="L33" s="4"/>
      <c r="M33" s="225"/>
      <c r="N33" s="235"/>
      <c r="O33" s="204"/>
      <c r="P33" s="204"/>
      <c r="Q33" s="205">
        <f t="shared" si="2"/>
        <v>129500</v>
      </c>
      <c r="R33" s="140"/>
      <c r="S33" s="285"/>
      <c r="T33" s="4"/>
      <c r="U33" s="225"/>
      <c r="V33" s="235"/>
      <c r="W33" s="204"/>
      <c r="X33" s="204"/>
      <c r="Y33" s="205">
        <f t="shared" si="3"/>
        <v>43462.400000000001</v>
      </c>
      <c r="Z33" s="140"/>
      <c r="AA33" s="152"/>
    </row>
    <row r="34" spans="3:29" x14ac:dyDescent="0.3">
      <c r="C34" s="279" t="s">
        <v>67</v>
      </c>
      <c r="D34" s="12"/>
      <c r="E34" s="261">
        <v>0.01</v>
      </c>
      <c r="F34" s="199"/>
      <c r="G34" s="233"/>
      <c r="H34" s="233"/>
      <c r="I34" s="205">
        <f>SUM(E34*$I$25)</f>
        <v>5568</v>
      </c>
      <c r="J34" s="120"/>
      <c r="K34" s="184"/>
      <c r="L34" s="4"/>
      <c r="M34" s="225"/>
      <c r="N34" s="235"/>
      <c r="O34" s="204"/>
      <c r="P34" s="204"/>
      <c r="Q34" s="205">
        <f t="shared" si="2"/>
        <v>161875</v>
      </c>
      <c r="R34" s="140"/>
      <c r="S34" s="285"/>
      <c r="T34" s="4"/>
      <c r="U34" s="225"/>
      <c r="V34" s="235"/>
      <c r="W34" s="204"/>
      <c r="X34" s="204"/>
      <c r="Y34" s="205">
        <f>SUM($E34*Y$25)</f>
        <v>54328</v>
      </c>
      <c r="Z34" s="140"/>
      <c r="AA34" s="152"/>
    </row>
    <row r="35" spans="3:29" x14ac:dyDescent="0.3">
      <c r="C35" s="280" t="s">
        <v>116</v>
      </c>
      <c r="D35" s="12"/>
      <c r="E35" s="261"/>
      <c r="F35" s="199"/>
      <c r="G35" s="233"/>
      <c r="H35" s="233"/>
      <c r="I35" s="203">
        <f>ROUNDUP(SUM(I27:I34), -2)</f>
        <v>129800</v>
      </c>
      <c r="J35" s="120"/>
      <c r="K35" s="184"/>
      <c r="L35" s="4"/>
      <c r="M35" s="225"/>
      <c r="N35" s="235"/>
      <c r="O35" s="204"/>
      <c r="P35" s="204"/>
      <c r="Q35" s="215">
        <f>ROUND(SUM(Q27:Q34), -2)</f>
        <v>3771700</v>
      </c>
      <c r="R35" s="140"/>
      <c r="S35" s="285"/>
      <c r="T35" s="4"/>
      <c r="U35" s="225"/>
      <c r="V35" s="235"/>
      <c r="W35" s="204"/>
      <c r="X35" s="204"/>
      <c r="Y35" s="215">
        <f>ROUND(SUM(Y27:Y34), -2)</f>
        <v>1265800</v>
      </c>
      <c r="Z35" s="140"/>
      <c r="AA35" s="152"/>
    </row>
    <row r="36" spans="3:29" x14ac:dyDescent="0.3">
      <c r="C36" s="277" t="s">
        <v>104</v>
      </c>
      <c r="D36" s="13"/>
      <c r="E36" s="262"/>
      <c r="F36" s="200"/>
      <c r="G36" s="251"/>
      <c r="H36" s="251"/>
      <c r="I36" s="206">
        <f>SUM(I35+I25)</f>
        <v>686600</v>
      </c>
      <c r="J36" s="120"/>
      <c r="K36" s="184"/>
      <c r="L36" s="4"/>
      <c r="M36" s="219"/>
      <c r="N36" s="204"/>
      <c r="O36" s="204"/>
      <c r="P36" s="204"/>
      <c r="Q36" s="206">
        <f>SUM(Q35+Q25)</f>
        <v>19959200</v>
      </c>
      <c r="R36" s="141"/>
      <c r="S36" s="285"/>
      <c r="T36" s="4"/>
      <c r="U36" s="219"/>
      <c r="V36" s="204"/>
      <c r="W36" s="204"/>
      <c r="X36" s="204"/>
      <c r="Y36" s="206">
        <f>SUM(Y35+Y25)</f>
        <v>6698600</v>
      </c>
      <c r="Z36" s="141"/>
      <c r="AA36" s="152"/>
    </row>
    <row r="37" spans="3:29" s="24" customFormat="1" ht="15.5" x14ac:dyDescent="0.35">
      <c r="C37" s="281"/>
      <c r="D37" s="12"/>
      <c r="E37" s="263"/>
      <c r="F37" s="199"/>
      <c r="G37" s="233"/>
      <c r="H37" s="233"/>
      <c r="I37" s="199"/>
      <c r="J37" s="114"/>
      <c r="K37" s="185"/>
      <c r="L37" s="129"/>
      <c r="M37" s="219"/>
      <c r="N37" s="204"/>
      <c r="O37" s="109"/>
      <c r="P37" s="109"/>
      <c r="Q37" s="199"/>
      <c r="R37" s="129"/>
      <c r="S37" s="292"/>
      <c r="T37" s="129"/>
      <c r="U37" s="219"/>
      <c r="V37" s="204"/>
      <c r="W37" s="109"/>
      <c r="X37" s="109"/>
      <c r="Y37" s="199"/>
      <c r="Z37" s="129"/>
      <c r="AA37" s="153"/>
      <c r="AB37" s="129"/>
      <c r="AC37" s="312"/>
    </row>
    <row r="38" spans="3:29" x14ac:dyDescent="0.3">
      <c r="C38" s="275" t="s">
        <v>65</v>
      </c>
      <c r="D38" s="12"/>
      <c r="E38" s="263"/>
      <c r="F38" s="199"/>
      <c r="G38" s="233"/>
      <c r="H38" s="233"/>
      <c r="I38" s="199"/>
      <c r="J38" s="120"/>
      <c r="K38" s="184"/>
      <c r="L38" s="4"/>
      <c r="M38" s="219"/>
      <c r="N38" s="204"/>
      <c r="O38" s="204"/>
      <c r="P38" s="204"/>
      <c r="Q38" s="199"/>
      <c r="R38" s="4"/>
      <c r="S38" s="285"/>
      <c r="T38" s="4"/>
      <c r="U38" s="219"/>
      <c r="V38" s="204"/>
      <c r="W38" s="204"/>
      <c r="X38" s="204"/>
      <c r="Y38" s="199"/>
      <c r="Z38" s="4"/>
      <c r="AA38" s="152"/>
    </row>
    <row r="39" spans="3:29" s="10" customFormat="1" ht="39.5" thickBot="1" x14ac:dyDescent="0.35">
      <c r="C39" s="276" t="s">
        <v>53</v>
      </c>
      <c r="D39" s="113"/>
      <c r="E39" s="260">
        <v>0.03</v>
      </c>
      <c r="F39" s="199"/>
      <c r="G39" s="233"/>
      <c r="H39" s="233"/>
      <c r="I39" s="199">
        <f>ROUNDUP(I$36*E39, -2)</f>
        <v>20600</v>
      </c>
      <c r="J39" s="143"/>
      <c r="K39" s="144" t="s">
        <v>82</v>
      </c>
      <c r="L39" s="148"/>
      <c r="M39" s="225">
        <v>0.01</v>
      </c>
      <c r="N39" s="235"/>
      <c r="O39" s="204"/>
      <c r="P39" s="204"/>
      <c r="Q39" s="199">
        <f>ROUNDUP(Q$36*M39, -2)</f>
        <v>199600</v>
      </c>
      <c r="R39" s="142"/>
      <c r="S39" s="293"/>
      <c r="T39" s="148"/>
      <c r="U39" s="225">
        <v>0.01</v>
      </c>
      <c r="V39" s="235"/>
      <c r="W39" s="204"/>
      <c r="X39" s="204"/>
      <c r="Y39" s="199">
        <f>ROUNDUP(Y$36*U39, -2)</f>
        <v>67000</v>
      </c>
      <c r="Z39" s="142"/>
      <c r="AA39" s="154"/>
      <c r="AB39" s="157"/>
      <c r="AC39" s="157"/>
    </row>
    <row r="40" spans="3:29" ht="26.5" thickBot="1" x14ac:dyDescent="0.35">
      <c r="C40" s="276" t="s">
        <v>80</v>
      </c>
      <c r="D40" s="12"/>
      <c r="E40" s="261">
        <v>0.125</v>
      </c>
      <c r="F40" s="199"/>
      <c r="G40" s="233"/>
      <c r="H40" s="233"/>
      <c r="I40" s="199">
        <f>ROUNDUP($I$36*E40, -2)</f>
        <v>85900</v>
      </c>
      <c r="J40" s="120"/>
      <c r="K40" s="183" t="s">
        <v>84</v>
      </c>
      <c r="L40" s="4"/>
      <c r="M40" s="226">
        <v>0.05</v>
      </c>
      <c r="N40" s="237"/>
      <c r="O40" s="204"/>
      <c r="P40" s="204"/>
      <c r="Q40" s="199">
        <f>ROUNDUP(Q$36*M40, -2)</f>
        <v>998000</v>
      </c>
      <c r="R40" s="114"/>
      <c r="S40" s="294" t="s">
        <v>84</v>
      </c>
      <c r="T40" s="4"/>
      <c r="U40" s="226">
        <v>0.1</v>
      </c>
      <c r="V40" s="237"/>
      <c r="W40" s="204"/>
      <c r="X40" s="204"/>
      <c r="Y40" s="199">
        <f>ROUNDUP(Y$36*U40, -2)</f>
        <v>669900</v>
      </c>
      <c r="Z40" s="114"/>
      <c r="AA40" s="294" t="s">
        <v>84</v>
      </c>
    </row>
    <row r="41" spans="3:29" x14ac:dyDescent="0.3">
      <c r="C41" s="276" t="s">
        <v>55</v>
      </c>
      <c r="D41" s="12"/>
      <c r="E41" s="260">
        <v>0.03</v>
      </c>
      <c r="F41" s="199"/>
      <c r="G41" s="233"/>
      <c r="H41" s="233"/>
      <c r="I41" s="199">
        <f>ROUNDUP($I$36*E41, -2)</f>
        <v>20600</v>
      </c>
      <c r="J41" s="120"/>
      <c r="K41" s="185"/>
      <c r="L41" s="4"/>
      <c r="M41" s="225">
        <f>$E41</f>
        <v>0.03</v>
      </c>
      <c r="N41" s="235"/>
      <c r="O41" s="204"/>
      <c r="P41" s="204"/>
      <c r="Q41" s="199">
        <f>ROUNDUP(Q$36*M41, -2)</f>
        <v>598800</v>
      </c>
      <c r="R41" s="114"/>
      <c r="S41" s="285"/>
      <c r="T41" s="4"/>
      <c r="U41" s="225">
        <f>$E41</f>
        <v>0.03</v>
      </c>
      <c r="V41" s="235"/>
      <c r="W41" s="204"/>
      <c r="X41" s="204"/>
      <c r="Y41" s="199">
        <f>ROUNDUP(Y$36*U41, -2)</f>
        <v>201000</v>
      </c>
      <c r="Z41" s="114"/>
      <c r="AA41" s="152"/>
    </row>
    <row r="42" spans="3:29" ht="14.5" thickBot="1" x14ac:dyDescent="0.35">
      <c r="C42" s="276" t="s">
        <v>66</v>
      </c>
      <c r="D42" s="12"/>
      <c r="E42" s="227">
        <v>100000</v>
      </c>
      <c r="F42" s="199"/>
      <c r="G42" s="233"/>
      <c r="H42" s="233"/>
      <c r="I42" s="199">
        <f>E42</f>
        <v>100000</v>
      </c>
      <c r="J42" s="120"/>
      <c r="K42" s="185" t="s">
        <v>83</v>
      </c>
      <c r="L42" s="4"/>
      <c r="M42" s="227">
        <v>20000</v>
      </c>
      <c r="N42" s="235"/>
      <c r="O42" s="204"/>
      <c r="P42" s="204"/>
      <c r="Q42" s="199">
        <f>M42</f>
        <v>20000</v>
      </c>
      <c r="R42" s="114"/>
      <c r="S42" s="285" t="s">
        <v>85</v>
      </c>
      <c r="T42" s="4"/>
      <c r="U42" s="227">
        <v>20000</v>
      </c>
      <c r="V42" s="235"/>
      <c r="W42" s="204"/>
      <c r="X42" s="204"/>
      <c r="Y42" s="199">
        <f>U42</f>
        <v>20000</v>
      </c>
      <c r="Z42" s="114"/>
      <c r="AA42" s="152" t="s">
        <v>85</v>
      </c>
    </row>
    <row r="43" spans="3:29" ht="14.5" thickBot="1" x14ac:dyDescent="0.35">
      <c r="C43" s="276" t="s">
        <v>125</v>
      </c>
      <c r="D43" s="12"/>
      <c r="E43" s="261">
        <v>0.05</v>
      </c>
      <c r="F43" s="199"/>
      <c r="G43" s="233"/>
      <c r="H43" s="233"/>
      <c r="I43" s="199">
        <f>ROUNDUP($I$36*E43, -2)</f>
        <v>34400</v>
      </c>
      <c r="J43" s="120"/>
      <c r="K43" s="183"/>
      <c r="L43" s="4"/>
      <c r="M43" s="226">
        <v>0.05</v>
      </c>
      <c r="N43" s="237"/>
      <c r="O43" s="204"/>
      <c r="P43" s="204"/>
      <c r="Q43" s="199">
        <f>ROUNDUP(Q$36*M43, -2)</f>
        <v>998000</v>
      </c>
      <c r="R43" s="114"/>
      <c r="S43" s="294"/>
      <c r="T43" s="4"/>
      <c r="U43" s="226">
        <v>0.05</v>
      </c>
      <c r="V43" s="237"/>
      <c r="W43" s="204"/>
      <c r="X43" s="204"/>
      <c r="Y43" s="199">
        <f>ROUNDUP(Y$36*U43, -2)</f>
        <v>335000</v>
      </c>
      <c r="Z43" s="114"/>
      <c r="AA43" s="155"/>
    </row>
    <row r="44" spans="3:29" x14ac:dyDescent="0.3">
      <c r="C44" s="279" t="s">
        <v>56</v>
      </c>
      <c r="D44" s="12"/>
      <c r="E44" s="260">
        <v>0.02</v>
      </c>
      <c r="F44" s="199"/>
      <c r="G44" s="233"/>
      <c r="H44" s="233"/>
      <c r="I44" s="199">
        <f>ROUNDUP($I$36*E44, -2)</f>
        <v>13800</v>
      </c>
      <c r="J44" s="120"/>
      <c r="K44" s="185"/>
      <c r="L44" s="114"/>
      <c r="M44" s="225">
        <v>0.04</v>
      </c>
      <c r="N44" s="235"/>
      <c r="O44" s="204"/>
      <c r="P44" s="204"/>
      <c r="Q44" s="199">
        <f>ROUNDUP(Q$36*M44, -2)</f>
        <v>798400</v>
      </c>
      <c r="R44" s="114"/>
      <c r="S44" s="285"/>
      <c r="T44" s="4"/>
      <c r="U44" s="225">
        <v>0.04</v>
      </c>
      <c r="V44" s="235"/>
      <c r="W44" s="204"/>
      <c r="X44" s="204"/>
      <c r="Y44" s="199">
        <f>ROUNDUP(Y$36*U44, -2)</f>
        <v>268000</v>
      </c>
      <c r="Z44" s="114"/>
      <c r="AA44" s="152"/>
    </row>
    <row r="45" spans="3:29" x14ac:dyDescent="0.3">
      <c r="C45" s="277" t="s">
        <v>105</v>
      </c>
      <c r="D45" s="14"/>
      <c r="E45" s="264"/>
      <c r="F45" s="265"/>
      <c r="G45" s="266"/>
      <c r="H45" s="266"/>
      <c r="I45" s="206">
        <f>SUM(I39:I44)</f>
        <v>275300</v>
      </c>
      <c r="J45" s="120"/>
      <c r="K45" s="184"/>
      <c r="L45" s="4"/>
      <c r="M45" s="219"/>
      <c r="N45" s="204"/>
      <c r="O45" s="204"/>
      <c r="P45" s="204"/>
      <c r="Q45" s="206">
        <f>ROUND(SUM(Q39:Q44), -2)</f>
        <v>3612800</v>
      </c>
      <c r="R45" s="141"/>
      <c r="S45" s="285"/>
      <c r="T45" s="4"/>
      <c r="U45" s="219"/>
      <c r="V45" s="204"/>
      <c r="W45" s="204"/>
      <c r="X45" s="204"/>
      <c r="Y45" s="206">
        <f>ROUND(SUM(Y39:Y44), -2)</f>
        <v>1560900</v>
      </c>
      <c r="Z45" s="141"/>
      <c r="AA45" s="152"/>
    </row>
    <row r="46" spans="3:29" ht="15.5" x14ac:dyDescent="0.35">
      <c r="C46" s="281"/>
      <c r="D46" s="12"/>
      <c r="E46" s="222"/>
      <c r="F46" s="199"/>
      <c r="G46" s="233"/>
      <c r="H46" s="233"/>
      <c r="I46" s="199"/>
      <c r="J46" s="120"/>
      <c r="K46" s="184"/>
      <c r="L46" s="4"/>
      <c r="M46" s="219"/>
      <c r="N46" s="204"/>
      <c r="O46" s="204"/>
      <c r="P46" s="204"/>
      <c r="Q46" s="199"/>
      <c r="R46" s="114"/>
      <c r="S46" s="285"/>
      <c r="T46" s="4"/>
      <c r="U46" s="219"/>
      <c r="V46" s="204"/>
      <c r="W46" s="204"/>
      <c r="X46" s="204"/>
      <c r="Y46" s="199"/>
      <c r="Z46" s="114"/>
      <c r="AA46" s="152"/>
    </row>
    <row r="47" spans="3:29" ht="15.5" x14ac:dyDescent="0.35">
      <c r="C47" s="274" t="s">
        <v>107</v>
      </c>
      <c r="D47" s="23"/>
      <c r="E47" s="267"/>
      <c r="F47" s="207"/>
      <c r="G47" s="268"/>
      <c r="H47" s="268"/>
      <c r="I47" s="207">
        <f>SUM(I36+I45)</f>
        <v>961900</v>
      </c>
      <c r="J47" s="120"/>
      <c r="K47" s="184"/>
      <c r="L47" s="4"/>
      <c r="M47" s="219"/>
      <c r="N47" s="204"/>
      <c r="O47" s="40"/>
      <c r="P47" s="204"/>
      <c r="Q47" s="207">
        <f>SUM(Q36+Q45)</f>
        <v>23572000</v>
      </c>
      <c r="R47" s="23"/>
      <c r="S47" s="285"/>
      <c r="T47" s="4"/>
      <c r="U47" s="219"/>
      <c r="V47" s="204"/>
      <c r="W47" s="40"/>
      <c r="X47" s="204"/>
      <c r="Y47" s="207">
        <f>SUM(Y36+Y45)</f>
        <v>8259500</v>
      </c>
      <c r="Z47" s="23"/>
      <c r="AA47" s="152"/>
    </row>
    <row r="48" spans="3:29" ht="15.5" x14ac:dyDescent="0.35">
      <c r="C48" s="282"/>
      <c r="D48" s="23"/>
      <c r="E48" s="267"/>
      <c r="F48" s="207"/>
      <c r="G48" s="268"/>
      <c r="H48" s="268"/>
      <c r="I48" s="207"/>
      <c r="J48" s="120"/>
      <c r="K48" s="184"/>
      <c r="L48" s="4"/>
      <c r="M48" s="219"/>
      <c r="N48" s="204"/>
      <c r="O48" s="40"/>
      <c r="P48" s="204"/>
      <c r="Q48" s="207"/>
      <c r="R48" s="23"/>
      <c r="S48" s="285"/>
      <c r="T48" s="4"/>
      <c r="U48" s="219"/>
      <c r="V48" s="204"/>
      <c r="W48" s="40"/>
      <c r="X48" s="204"/>
      <c r="Y48" s="207"/>
      <c r="Z48" s="23"/>
      <c r="AA48" s="152"/>
    </row>
    <row r="49" spans="3:29" ht="70" x14ac:dyDescent="0.3">
      <c r="C49" s="47" t="s">
        <v>81</v>
      </c>
      <c r="D49" s="23"/>
      <c r="E49" s="145"/>
      <c r="F49" s="46"/>
      <c r="G49" s="46"/>
      <c r="H49" s="46"/>
      <c r="I49" s="46"/>
      <c r="J49" s="120"/>
      <c r="K49" s="184"/>
      <c r="L49" s="4"/>
      <c r="M49" s="219"/>
      <c r="N49" s="204"/>
      <c r="O49" s="204"/>
      <c r="P49" s="204"/>
      <c r="Q49" s="204"/>
      <c r="R49" s="4"/>
      <c r="S49" s="285"/>
      <c r="T49" s="4"/>
      <c r="U49" s="219"/>
      <c r="V49" s="204"/>
      <c r="W49" s="204"/>
      <c r="X49" s="204"/>
      <c r="Y49" s="238"/>
      <c r="Z49" s="3"/>
      <c r="AA49" s="155"/>
    </row>
    <row r="50" spans="3:29" x14ac:dyDescent="0.3">
      <c r="C50" s="283"/>
      <c r="D50" s="12"/>
      <c r="E50" s="222"/>
      <c r="F50" s="199"/>
      <c r="G50" s="233"/>
      <c r="H50" s="233"/>
      <c r="I50" s="199"/>
      <c r="J50" s="120"/>
      <c r="K50" s="184"/>
      <c r="L50" s="4"/>
      <c r="M50" s="220"/>
      <c r="N50" s="212"/>
      <c r="O50" s="212"/>
      <c r="P50" s="212"/>
      <c r="Q50" s="212"/>
      <c r="R50" s="163"/>
      <c r="S50" s="290"/>
      <c r="T50" s="4"/>
      <c r="U50" s="220"/>
      <c r="V50" s="212"/>
      <c r="W50" s="212"/>
      <c r="X50" s="212"/>
      <c r="Y50" s="239"/>
      <c r="Z50" s="166"/>
      <c r="AA50" s="167"/>
    </row>
    <row r="51" spans="3:29" s="3" customFormat="1" ht="15.5" x14ac:dyDescent="0.35">
      <c r="C51" s="274" t="s">
        <v>106</v>
      </c>
      <c r="D51" s="119"/>
      <c r="E51" s="230"/>
      <c r="F51" s="240"/>
      <c r="G51" s="241"/>
      <c r="H51" s="241"/>
      <c r="I51" s="208">
        <f>SUM(I54+I55+I53)</f>
        <v>961900</v>
      </c>
      <c r="J51" s="162"/>
      <c r="K51" s="186"/>
      <c r="L51" s="4"/>
      <c r="M51" s="228"/>
      <c r="N51" s="246"/>
      <c r="O51" s="247"/>
      <c r="P51" s="247"/>
      <c r="Q51" s="216">
        <f>SUM(Q54+Q55+Q53)</f>
        <v>23572000</v>
      </c>
      <c r="R51" s="4"/>
      <c r="S51" s="295"/>
      <c r="T51" s="4"/>
      <c r="U51" s="230"/>
      <c r="V51" s="240"/>
      <c r="W51" s="241"/>
      <c r="X51" s="241"/>
      <c r="Y51" s="208">
        <f>SUM(Y54+Y55+Y53)</f>
        <v>8259500</v>
      </c>
      <c r="Z51" s="165"/>
      <c r="AA51" s="168"/>
    </row>
    <row r="52" spans="3:29" ht="15.5" x14ac:dyDescent="0.35">
      <c r="C52" s="282"/>
      <c r="D52" s="12"/>
      <c r="E52" s="222" t="s">
        <v>47</v>
      </c>
      <c r="F52" s="199"/>
      <c r="G52" s="233"/>
      <c r="H52" s="233"/>
      <c r="I52" s="199"/>
      <c r="J52" s="120"/>
      <c r="K52" s="184"/>
      <c r="L52" s="4"/>
      <c r="M52" s="222" t="s">
        <v>47</v>
      </c>
      <c r="N52" s="199"/>
      <c r="O52" s="233"/>
      <c r="P52" s="233"/>
      <c r="Q52" s="199"/>
      <c r="R52" s="4"/>
      <c r="S52" s="285"/>
      <c r="T52" s="4"/>
      <c r="U52" s="222" t="s">
        <v>47</v>
      </c>
      <c r="V52" s="199"/>
      <c r="W52" s="233"/>
      <c r="X52" s="233"/>
      <c r="Y52" s="199"/>
      <c r="Z52" s="3"/>
      <c r="AA52" s="155"/>
    </row>
    <row r="53" spans="3:29" x14ac:dyDescent="0.3">
      <c r="C53" s="276" t="s">
        <v>48</v>
      </c>
      <c r="D53" s="12"/>
      <c r="E53" s="269">
        <v>0.15</v>
      </c>
      <c r="F53" s="199"/>
      <c r="G53" s="233"/>
      <c r="H53" s="233"/>
      <c r="I53" s="199">
        <f>(I$47*E53)</f>
        <v>144285</v>
      </c>
      <c r="J53" s="120"/>
      <c r="K53" s="184"/>
      <c r="L53" s="4"/>
      <c r="M53" s="269">
        <v>0.15</v>
      </c>
      <c r="N53" s="199"/>
      <c r="O53" s="233"/>
      <c r="P53" s="233"/>
      <c r="Q53" s="199">
        <f>SUM(Q$47*M53)</f>
        <v>3535800</v>
      </c>
      <c r="R53" s="4"/>
      <c r="S53" s="285"/>
      <c r="T53" s="4"/>
      <c r="U53" s="269">
        <v>0.15</v>
      </c>
      <c r="V53" s="199"/>
      <c r="W53" s="233"/>
      <c r="X53" s="233"/>
      <c r="Y53" s="199">
        <f>(Y$47*U53)</f>
        <v>1238925</v>
      </c>
      <c r="Z53" s="3"/>
      <c r="AA53" s="155"/>
    </row>
    <row r="54" spans="3:29" s="10" customFormat="1" x14ac:dyDescent="0.3">
      <c r="C54" s="276" t="s">
        <v>49</v>
      </c>
      <c r="D54" s="12"/>
      <c r="E54" s="269">
        <v>0.2</v>
      </c>
      <c r="F54" s="199"/>
      <c r="G54" s="233"/>
      <c r="H54" s="233"/>
      <c r="I54" s="199">
        <f>(I$47*E54)</f>
        <v>192380</v>
      </c>
      <c r="J54" s="146"/>
      <c r="K54" s="187"/>
      <c r="L54" s="148"/>
      <c r="M54" s="269">
        <v>0.2</v>
      </c>
      <c r="N54" s="199"/>
      <c r="O54" s="233"/>
      <c r="P54" s="233"/>
      <c r="Q54" s="199">
        <f>SUM(Q$47*M54)</f>
        <v>4714400</v>
      </c>
      <c r="R54" s="148"/>
      <c r="S54" s="293"/>
      <c r="T54" s="148"/>
      <c r="U54" s="269">
        <v>0.2</v>
      </c>
      <c r="V54" s="199"/>
      <c r="W54" s="233"/>
      <c r="X54" s="233"/>
      <c r="Y54" s="199">
        <f>(Y$47*U54)</f>
        <v>1651900</v>
      </c>
      <c r="Z54" s="157"/>
      <c r="AA54" s="159"/>
      <c r="AB54" s="157"/>
      <c r="AC54" s="157"/>
    </row>
    <row r="55" spans="3:29" s="10" customFormat="1" ht="14.5" thickBot="1" x14ac:dyDescent="0.35">
      <c r="C55" s="276" t="s">
        <v>70</v>
      </c>
      <c r="D55" s="12"/>
      <c r="E55" s="270">
        <v>0.65</v>
      </c>
      <c r="F55" s="209"/>
      <c r="G55" s="242"/>
      <c r="H55" s="242"/>
      <c r="I55" s="209">
        <f>(I$47*E55)</f>
        <v>625235</v>
      </c>
      <c r="J55" s="147"/>
      <c r="K55" s="170"/>
      <c r="L55" s="148"/>
      <c r="M55" s="270">
        <v>0.65</v>
      </c>
      <c r="N55" s="209"/>
      <c r="O55" s="242"/>
      <c r="P55" s="242"/>
      <c r="Q55" s="209">
        <f>SUM(Q$47*M55)</f>
        <v>15321800</v>
      </c>
      <c r="R55" s="156"/>
      <c r="S55" s="170"/>
      <c r="T55" s="148"/>
      <c r="U55" s="270">
        <v>0.65</v>
      </c>
      <c r="V55" s="209"/>
      <c r="W55" s="242"/>
      <c r="X55" s="242"/>
      <c r="Y55" s="209">
        <f>(Y$47*U55)</f>
        <v>5368675</v>
      </c>
      <c r="Z55" s="158"/>
      <c r="AA55" s="170"/>
      <c r="AB55" s="157"/>
      <c r="AC55" s="157"/>
    </row>
    <row r="56" spans="3:29" ht="120" customHeight="1" thickBot="1" x14ac:dyDescent="0.35">
      <c r="E56" s="419" t="s">
        <v>103</v>
      </c>
      <c r="F56" s="420"/>
      <c r="G56" s="420"/>
      <c r="H56" s="420"/>
      <c r="I56" s="420"/>
      <c r="J56" s="420"/>
      <c r="K56" s="421"/>
      <c r="L56" s="4"/>
      <c r="M56" s="419" t="s">
        <v>119</v>
      </c>
      <c r="N56" s="420"/>
      <c r="O56" s="420"/>
      <c r="P56" s="420"/>
      <c r="Q56" s="420"/>
      <c r="R56" s="420"/>
      <c r="S56" s="421"/>
      <c r="T56" s="4"/>
      <c r="U56" s="419" t="s">
        <v>119</v>
      </c>
      <c r="V56" s="420"/>
      <c r="W56" s="420"/>
      <c r="X56" s="420"/>
      <c r="Y56" s="420"/>
      <c r="Z56" s="420"/>
      <c r="AA56" s="421"/>
    </row>
    <row r="57" spans="3:29" x14ac:dyDescent="0.3">
      <c r="C57" s="283"/>
      <c r="D57" s="15"/>
      <c r="E57" s="210"/>
      <c r="F57" s="210"/>
      <c r="G57" s="94"/>
      <c r="H57" s="94"/>
      <c r="I57" s="210"/>
      <c r="J57" s="7"/>
      <c r="K57" s="188"/>
    </row>
    <row r="58" spans="3:29" x14ac:dyDescent="0.3">
      <c r="C58" s="283"/>
      <c r="D58" s="15"/>
      <c r="E58" s="210"/>
      <c r="F58" s="210"/>
      <c r="G58" s="94"/>
      <c r="H58" s="94"/>
      <c r="I58" s="210"/>
      <c r="J58" s="7"/>
      <c r="K58" s="188"/>
    </row>
    <row r="59" spans="3:29" x14ac:dyDescent="0.3">
      <c r="C59" s="283"/>
      <c r="D59" s="11"/>
      <c r="E59" s="95"/>
      <c r="F59" s="95"/>
      <c r="G59" s="94"/>
      <c r="H59" s="94"/>
      <c r="I59" s="95"/>
      <c r="J59" s="7"/>
      <c r="K59" s="188"/>
    </row>
    <row r="60" spans="3:29" x14ac:dyDescent="0.3">
      <c r="G60" s="194"/>
      <c r="H60" s="194"/>
      <c r="J60" s="8"/>
      <c r="K60" s="189"/>
    </row>
    <row r="61" spans="3:29" s="18" customFormat="1" x14ac:dyDescent="0.3">
      <c r="C61" s="244"/>
      <c r="D61" s="37"/>
      <c r="E61" s="211"/>
      <c r="F61" s="211"/>
      <c r="G61" s="211"/>
      <c r="H61" s="211"/>
      <c r="I61" s="211"/>
      <c r="J61" s="19"/>
      <c r="K61" s="190"/>
      <c r="L61" s="42"/>
      <c r="M61" s="211"/>
      <c r="N61" s="211"/>
      <c r="O61" s="211"/>
      <c r="P61" s="211"/>
      <c r="Q61" s="211"/>
      <c r="R61" s="37"/>
      <c r="S61" s="296"/>
      <c r="T61" s="42"/>
      <c r="U61" s="211"/>
      <c r="V61" s="211"/>
      <c r="W61" s="211"/>
      <c r="X61" s="211"/>
      <c r="Y61" s="244"/>
      <c r="AA61" s="50"/>
      <c r="AB61" s="317"/>
      <c r="AC61" s="317"/>
    </row>
    <row r="62" spans="3:29" x14ac:dyDescent="0.3">
      <c r="G62" s="194"/>
      <c r="H62" s="194"/>
      <c r="J62" s="9"/>
      <c r="K62" s="191"/>
    </row>
    <row r="63" spans="3:29" x14ac:dyDescent="0.3">
      <c r="G63" s="194"/>
      <c r="H63" s="194"/>
      <c r="J63" s="9"/>
      <c r="K63" s="191"/>
    </row>
    <row r="64" spans="3:29" x14ac:dyDescent="0.3">
      <c r="G64" s="194"/>
      <c r="H64" s="194"/>
      <c r="J64" s="6"/>
      <c r="K64" s="192"/>
    </row>
    <row r="65" spans="3:11" x14ac:dyDescent="0.3">
      <c r="C65" s="283"/>
      <c r="D65" s="11"/>
      <c r="E65" s="95"/>
      <c r="F65" s="95"/>
      <c r="G65" s="94"/>
      <c r="H65" s="94"/>
      <c r="I65" s="95"/>
      <c r="J65" s="6"/>
      <c r="K65" s="192"/>
    </row>
  </sheetData>
  <mergeCells count="9">
    <mergeCell ref="M8:S8"/>
    <mergeCell ref="U8:AA8"/>
    <mergeCell ref="E8:K8"/>
    <mergeCell ref="E56:K56"/>
    <mergeCell ref="M56:S56"/>
    <mergeCell ref="U56:AA56"/>
    <mergeCell ref="E9:K9"/>
    <mergeCell ref="U9:AA9"/>
    <mergeCell ref="M9:S9"/>
  </mergeCells>
  <pageMargins left="0.7" right="0.7" top="0.75" bottom="0.75" header="0.3" footer="0.3"/>
  <pageSetup scale="38" orientation="landscape" r:id="rId1"/>
  <headerFooter scaleWithDoc="0">
    <oddHeader>&amp;R&amp;G</oddHeader>
    <oddFooter>&amp;L&amp;G&amp;C&amp;9DRAFT &amp;D&amp;R&amp;9Page &amp;P</oddFooter>
  </headerFooter>
  <colBreaks count="1" manualBreakCount="1">
    <brk id="19" max="1048575" man="1"/>
  </colBreaks>
  <ignoredErrors>
    <ignoredError sqref="I42 Q42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D860-E170-48B6-BB31-12C13AEADDF8}">
  <sheetPr>
    <tabColor theme="2" tint="-0.249977111117893"/>
  </sheetPr>
  <dimension ref="A1:O39"/>
  <sheetViews>
    <sheetView tabSelected="1" topLeftCell="A15" zoomScale="89" zoomScaleNormal="89" workbookViewId="0">
      <selection activeCell="B2" sqref="B2"/>
    </sheetView>
  </sheetViews>
  <sheetFormatPr defaultColWidth="8.7265625" defaultRowHeight="14" x14ac:dyDescent="0.3"/>
  <cols>
    <col min="1" max="1" width="3" style="1" customWidth="1"/>
    <col min="2" max="2" width="13.54296875" style="1" customWidth="1"/>
    <col min="3" max="3" width="35.81640625" style="1" customWidth="1"/>
    <col min="4" max="4" width="13.6328125" style="79" customWidth="1"/>
    <col min="5" max="5" width="13.36328125" style="1" customWidth="1"/>
    <col min="6" max="6" width="13.6328125" style="1" customWidth="1"/>
    <col min="7" max="7" width="3.6328125" style="1" customWidth="1"/>
    <col min="8" max="8" width="12.54296875" style="1" customWidth="1"/>
    <col min="9" max="9" width="8.7265625" style="1"/>
    <col min="10" max="10" width="47.90625" style="1" customWidth="1"/>
    <col min="11" max="11" width="43.453125" style="1" customWidth="1"/>
    <col min="12" max="12" width="34.26953125" style="1" customWidth="1"/>
    <col min="13" max="13" width="10" style="1" customWidth="1"/>
    <col min="14" max="14" width="4.90625" style="1" customWidth="1"/>
    <col min="15" max="15" width="28.453125" style="1" customWidth="1"/>
    <col min="16" max="18" width="8.7265625" style="1"/>
    <col min="19" max="19" width="5.26953125" style="1" customWidth="1"/>
    <col min="20" max="20" width="23" style="1" customWidth="1"/>
    <col min="21" max="21" width="15" style="1" customWidth="1"/>
    <col min="22" max="22" width="8.7265625" style="1"/>
    <col min="23" max="23" width="21.453125" style="1" customWidth="1"/>
    <col min="24" max="16384" width="8.7265625" style="1"/>
  </cols>
  <sheetData>
    <row r="1" spans="1:15" ht="18" customHeight="1" thickBot="1" x14ac:dyDescent="0.45">
      <c r="A1" s="2"/>
      <c r="B1" s="301" t="s">
        <v>153</v>
      </c>
      <c r="C1" s="300"/>
      <c r="D1" s="300"/>
      <c r="E1" s="300"/>
      <c r="F1" s="300"/>
      <c r="G1" s="298"/>
      <c r="H1" s="298"/>
      <c r="I1" s="297"/>
      <c r="J1" s="302"/>
      <c r="K1" s="302"/>
      <c r="L1" s="302"/>
      <c r="M1" s="284"/>
      <c r="N1" s="284"/>
      <c r="O1" s="4"/>
    </row>
    <row r="2" spans="1:15" ht="18" customHeight="1" thickBot="1" x14ac:dyDescent="0.5">
      <c r="C2" s="24"/>
      <c r="D2" s="44"/>
      <c r="E2" s="24"/>
      <c r="F2" s="77"/>
      <c r="G2" s="24"/>
      <c r="J2" s="86"/>
      <c r="K2" s="24"/>
      <c r="L2" s="24"/>
      <c r="M2" s="24"/>
      <c r="N2" s="24"/>
    </row>
    <row r="3" spans="1:15" ht="18" customHeight="1" thickBot="1" x14ac:dyDescent="0.5">
      <c r="B3" s="366" t="s">
        <v>38</v>
      </c>
      <c r="C3" s="367"/>
      <c r="D3" s="94"/>
      <c r="E3" s="95"/>
      <c r="F3" s="96"/>
      <c r="G3" s="24"/>
      <c r="H3" s="117" t="s">
        <v>112</v>
      </c>
      <c r="J3" s="51"/>
      <c r="K3" s="24"/>
      <c r="L3" s="24"/>
      <c r="M3" s="24"/>
      <c r="N3" s="24"/>
    </row>
    <row r="4" spans="1:15" ht="18" customHeight="1" x14ac:dyDescent="0.45">
      <c r="B4" s="354" t="s">
        <v>39</v>
      </c>
      <c r="C4" s="355" t="s">
        <v>142</v>
      </c>
      <c r="D4" s="44"/>
      <c r="E4" s="24"/>
      <c r="F4" s="77"/>
      <c r="G4" s="24"/>
      <c r="H4" s="116" t="s">
        <v>114</v>
      </c>
      <c r="L4" s="118"/>
      <c r="M4" s="118"/>
      <c r="N4" s="24"/>
    </row>
    <row r="5" spans="1:15" s="86" customFormat="1" ht="18" customHeight="1" x14ac:dyDescent="0.3">
      <c r="B5" s="356" t="s">
        <v>40</v>
      </c>
      <c r="C5" s="357" t="s">
        <v>137</v>
      </c>
      <c r="D5" s="90"/>
      <c r="E5" s="90"/>
      <c r="F5" s="90"/>
      <c r="G5" s="87"/>
      <c r="H5" s="116" t="s">
        <v>113</v>
      </c>
      <c r="L5" s="1"/>
      <c r="M5" s="1"/>
      <c r="N5" s="87"/>
    </row>
    <row r="6" spans="1:15" s="51" customFormat="1" ht="18" customHeight="1" thickBot="1" x14ac:dyDescent="0.35">
      <c r="B6" s="358" t="s">
        <v>2</v>
      </c>
      <c r="C6" s="378">
        <v>2</v>
      </c>
      <c r="D6" s="88"/>
      <c r="E6" s="85"/>
      <c r="F6" s="85"/>
      <c r="G6" s="78"/>
      <c r="L6" s="1"/>
      <c r="M6" s="1"/>
      <c r="N6" s="78"/>
    </row>
    <row r="7" spans="1:15" ht="15" customHeight="1" x14ac:dyDescent="0.3">
      <c r="C7" s="24"/>
      <c r="D7" s="44"/>
      <c r="E7" s="24"/>
      <c r="F7" s="24"/>
      <c r="G7" s="24"/>
      <c r="I7" s="24"/>
      <c r="L7" s="2"/>
      <c r="M7" s="2"/>
      <c r="N7" s="24"/>
    </row>
    <row r="8" spans="1:15" ht="16.5" customHeight="1" x14ac:dyDescent="0.3">
      <c r="C8" s="43" t="s">
        <v>71</v>
      </c>
      <c r="D8" s="80" t="s">
        <v>2</v>
      </c>
      <c r="E8" s="81" t="s">
        <v>72</v>
      </c>
      <c r="F8" s="81" t="s">
        <v>73</v>
      </c>
      <c r="G8" s="38"/>
      <c r="H8" s="24"/>
      <c r="I8" s="24"/>
      <c r="N8" s="24"/>
    </row>
    <row r="9" spans="1:15" ht="16.5" customHeight="1" x14ac:dyDescent="0.3">
      <c r="C9" s="45" t="s">
        <v>4</v>
      </c>
      <c r="D9" s="375">
        <v>25873</v>
      </c>
      <c r="E9" s="313">
        <v>18075</v>
      </c>
      <c r="F9" s="313">
        <v>4040</v>
      </c>
      <c r="G9" s="38"/>
      <c r="H9" s="24"/>
      <c r="I9" s="24"/>
      <c r="J9" s="2"/>
      <c r="K9" s="2"/>
      <c r="L9" s="2"/>
      <c r="M9" s="2"/>
      <c r="N9" s="24"/>
      <c r="O9" s="2"/>
    </row>
    <row r="10" spans="1:15" ht="16.5" customHeight="1" x14ac:dyDescent="0.3">
      <c r="C10" s="25" t="s">
        <v>74</v>
      </c>
      <c r="D10" s="376"/>
      <c r="E10" s="376" t="s">
        <v>139</v>
      </c>
      <c r="F10" s="376" t="s">
        <v>135</v>
      </c>
      <c r="G10" s="38"/>
      <c r="H10" s="24"/>
      <c r="I10" s="24"/>
      <c r="J10" s="2"/>
      <c r="K10" s="2"/>
      <c r="L10" s="2"/>
      <c r="M10" s="2"/>
      <c r="N10" s="24"/>
      <c r="O10" s="2"/>
    </row>
    <row r="11" spans="1:15" ht="18" customHeight="1" x14ac:dyDescent="0.3">
      <c r="C11" s="25" t="s">
        <v>35</v>
      </c>
      <c r="D11" s="376"/>
      <c r="E11" s="376" t="s">
        <v>132</v>
      </c>
      <c r="F11" s="376" t="s">
        <v>135</v>
      </c>
      <c r="G11" s="30"/>
      <c r="H11" s="24"/>
      <c r="I11" s="24"/>
      <c r="J11" s="118"/>
      <c r="K11" s="118"/>
      <c r="L11" s="83"/>
      <c r="M11" s="24"/>
      <c r="N11" s="24"/>
      <c r="O11" s="2"/>
    </row>
    <row r="12" spans="1:15" ht="16.5" customHeight="1" x14ac:dyDescent="0.3">
      <c r="C12" s="25" t="s">
        <v>28</v>
      </c>
      <c r="D12" s="376"/>
      <c r="E12" s="376">
        <v>157</v>
      </c>
      <c r="F12" s="376">
        <v>50</v>
      </c>
      <c r="G12" s="30"/>
      <c r="H12" s="30"/>
      <c r="I12" s="24"/>
      <c r="J12" s="128"/>
      <c r="K12" s="128"/>
      <c r="L12" s="83"/>
      <c r="M12" s="24"/>
      <c r="N12" s="24"/>
      <c r="O12" s="2"/>
    </row>
    <row r="13" spans="1:15" ht="16.5" customHeight="1" x14ac:dyDescent="0.3">
      <c r="C13" s="25" t="s">
        <v>5</v>
      </c>
      <c r="D13" s="376">
        <v>13550</v>
      </c>
      <c r="E13" s="376">
        <v>9510</v>
      </c>
      <c r="F13" s="376">
        <v>3280</v>
      </c>
      <c r="G13" s="30"/>
      <c r="H13" s="30"/>
      <c r="I13" s="24"/>
      <c r="J13" s="2"/>
      <c r="K13" s="24"/>
      <c r="L13" s="83"/>
      <c r="M13" s="24"/>
      <c r="N13" s="24"/>
      <c r="O13" s="2"/>
    </row>
    <row r="14" spans="1:15" ht="16.5" customHeight="1" x14ac:dyDescent="0.3">
      <c r="C14" s="25" t="s">
        <v>6</v>
      </c>
      <c r="D14" s="376"/>
      <c r="E14" s="376" t="s">
        <v>136</v>
      </c>
      <c r="F14" s="376" t="s">
        <v>136</v>
      </c>
      <c r="G14" s="30"/>
      <c r="H14" s="30"/>
      <c r="I14" s="24"/>
      <c r="J14" s="127"/>
      <c r="K14" s="24"/>
      <c r="L14" s="83"/>
      <c r="M14" s="24"/>
      <c r="N14" s="24"/>
      <c r="O14" s="2"/>
    </row>
    <row r="15" spans="1:15" ht="16.5" customHeight="1" x14ac:dyDescent="0.3">
      <c r="C15" s="25" t="s">
        <v>7</v>
      </c>
      <c r="D15" s="376"/>
      <c r="E15" s="376">
        <f>E13</f>
        <v>9510</v>
      </c>
      <c r="F15" s="376">
        <f>F13</f>
        <v>3280</v>
      </c>
      <c r="G15" s="30"/>
      <c r="H15" s="30"/>
      <c r="I15" s="2"/>
      <c r="J15" s="127"/>
      <c r="K15" s="24"/>
      <c r="L15" s="2"/>
      <c r="M15" s="2"/>
      <c r="N15" s="2"/>
      <c r="O15" s="2"/>
    </row>
    <row r="16" spans="1:15" ht="16.5" customHeight="1" x14ac:dyDescent="0.3">
      <c r="C16" s="25" t="s">
        <v>75</v>
      </c>
      <c r="D16" s="376">
        <f>E16+F16</f>
        <v>51835</v>
      </c>
      <c r="E16" s="377">
        <f>E17*E18+E15</f>
        <v>38715</v>
      </c>
      <c r="F16" s="377">
        <f>F17*F18+F15</f>
        <v>13120</v>
      </c>
      <c r="G16" s="30"/>
      <c r="H16" s="30"/>
      <c r="I16" s="2"/>
      <c r="J16" s="2"/>
      <c r="K16" s="2"/>
      <c r="L16" s="2"/>
      <c r="M16" s="2"/>
      <c r="N16" s="2"/>
      <c r="O16" s="2"/>
    </row>
    <row r="17" spans="3:15" ht="16.5" customHeight="1" x14ac:dyDescent="0.3">
      <c r="C17" s="25" t="s">
        <v>8</v>
      </c>
      <c r="D17" s="376"/>
      <c r="E17" s="376">
        <v>9735</v>
      </c>
      <c r="F17" s="376">
        <v>3280</v>
      </c>
      <c r="G17" s="30"/>
      <c r="H17" s="30"/>
      <c r="I17" s="2"/>
      <c r="J17" s="127"/>
      <c r="K17" s="24"/>
      <c r="L17" s="2"/>
      <c r="M17" s="2"/>
      <c r="N17" s="2"/>
      <c r="O17" s="2"/>
    </row>
    <row r="18" spans="3:15" ht="16.5" customHeight="1" x14ac:dyDescent="0.3">
      <c r="C18" s="25" t="s">
        <v>9</v>
      </c>
      <c r="D18" s="376"/>
      <c r="E18" s="376">
        <v>3</v>
      </c>
      <c r="F18" s="376">
        <v>3</v>
      </c>
      <c r="G18" s="30"/>
      <c r="H18" s="30"/>
      <c r="I18" s="2"/>
      <c r="J18" s="2"/>
      <c r="K18" s="2"/>
      <c r="L18" s="2"/>
      <c r="M18" s="2"/>
      <c r="N18" s="2"/>
      <c r="O18" s="2"/>
    </row>
    <row r="19" spans="3:15" ht="16.5" customHeight="1" x14ac:dyDescent="0.3">
      <c r="C19" s="25" t="s">
        <v>10</v>
      </c>
      <c r="D19" s="376"/>
      <c r="E19" s="376" t="s">
        <v>136</v>
      </c>
      <c r="F19" s="376" t="s">
        <v>136</v>
      </c>
      <c r="G19" s="30"/>
      <c r="H19" s="30"/>
      <c r="I19" s="2"/>
      <c r="J19" s="2"/>
      <c r="K19" s="2"/>
      <c r="L19" s="2"/>
      <c r="M19" s="2"/>
      <c r="N19" s="2"/>
      <c r="O19" s="2"/>
    </row>
    <row r="20" spans="3:15" ht="16.5" customHeight="1" x14ac:dyDescent="0.3">
      <c r="C20" s="25" t="s">
        <v>11</v>
      </c>
      <c r="D20" s="376"/>
      <c r="E20" s="376" t="s">
        <v>136</v>
      </c>
      <c r="F20" s="376" t="s">
        <v>136</v>
      </c>
      <c r="G20" s="30"/>
      <c r="H20" s="30"/>
      <c r="I20" s="2"/>
      <c r="J20" s="2"/>
      <c r="K20" s="2"/>
      <c r="L20" s="2"/>
      <c r="M20" s="2"/>
      <c r="N20" s="2"/>
      <c r="O20" s="2"/>
    </row>
    <row r="21" spans="3:15" ht="16.5" customHeight="1" x14ac:dyDescent="0.3">
      <c r="C21" s="25" t="s">
        <v>12</v>
      </c>
      <c r="D21" s="376"/>
      <c r="E21" s="376">
        <v>4</v>
      </c>
      <c r="F21" s="376">
        <v>4</v>
      </c>
      <c r="G21" s="30"/>
      <c r="H21" s="30"/>
      <c r="I21" s="2"/>
      <c r="J21" s="127"/>
      <c r="K21" s="24"/>
      <c r="L21" s="2"/>
      <c r="M21" s="2"/>
      <c r="N21" s="2"/>
      <c r="O21" s="2"/>
    </row>
    <row r="22" spans="3:15" ht="16.5" customHeight="1" x14ac:dyDescent="0.3">
      <c r="C22" s="25" t="s">
        <v>13</v>
      </c>
      <c r="D22" s="376">
        <f>SUM((F13+E13)+(F17*F18)+(E17*E18))</f>
        <v>51835</v>
      </c>
      <c r="E22" s="376">
        <f>SUM((E13*1)+(E17*E18))</f>
        <v>38715</v>
      </c>
      <c r="F22" s="376">
        <f>SUM((F13*1)+(F17*F18))</f>
        <v>13120</v>
      </c>
      <c r="G22" s="30"/>
      <c r="H22" s="30"/>
      <c r="I22" s="2"/>
      <c r="J22" s="2"/>
      <c r="K22" s="2"/>
      <c r="L22" s="2"/>
      <c r="M22" s="2"/>
      <c r="N22" s="2"/>
      <c r="O22" s="2"/>
    </row>
    <row r="23" spans="3:15" ht="16.5" customHeight="1" x14ac:dyDescent="0.3">
      <c r="C23" s="25" t="s">
        <v>14</v>
      </c>
      <c r="D23" s="376">
        <f>SUM(E23:F23)</f>
        <v>36.562416107382546</v>
      </c>
      <c r="E23" s="376">
        <f>SUM(((((E17*E18)-5400)*0.8)/745)+3)</f>
        <v>28.56241610738255</v>
      </c>
      <c r="F23" s="376">
        <f>SUM((F22)/1640)</f>
        <v>8</v>
      </c>
      <c r="G23" s="30"/>
      <c r="H23" s="30"/>
      <c r="I23" s="2"/>
      <c r="J23" s="2"/>
      <c r="K23" s="2"/>
      <c r="L23" s="2"/>
      <c r="M23" s="2"/>
      <c r="N23" s="2"/>
      <c r="O23" s="2"/>
    </row>
    <row r="24" spans="3:15" ht="16.5" customHeight="1" x14ac:dyDescent="0.3">
      <c r="C24" s="25" t="s">
        <v>15</v>
      </c>
      <c r="D24" s="376"/>
      <c r="E24" s="376">
        <f>SUM(E23*0.33)</f>
        <v>9.4255973154362422</v>
      </c>
      <c r="F24" s="376">
        <f>SUM(F23*1)</f>
        <v>8</v>
      </c>
      <c r="G24" s="30"/>
      <c r="H24" s="30"/>
      <c r="I24" s="2"/>
      <c r="J24" s="2"/>
      <c r="K24" s="2"/>
      <c r="L24" s="2"/>
      <c r="M24" s="2"/>
      <c r="N24" s="2"/>
      <c r="O24" s="2"/>
    </row>
    <row r="25" spans="3:15" ht="16.5" customHeight="1" x14ac:dyDescent="0.3">
      <c r="C25" s="25" t="s">
        <v>16</v>
      </c>
      <c r="D25" s="376"/>
      <c r="E25" s="376">
        <v>18</v>
      </c>
      <c r="F25" s="376">
        <v>6</v>
      </c>
      <c r="G25" s="30"/>
      <c r="H25" s="30"/>
      <c r="I25" s="2"/>
      <c r="J25" s="2"/>
      <c r="K25" s="2"/>
      <c r="L25" s="2"/>
      <c r="M25" s="2"/>
      <c r="N25" s="2"/>
      <c r="O25" s="2"/>
    </row>
    <row r="26" spans="3:15" ht="16.5" customHeight="1" x14ac:dyDescent="0.3">
      <c r="C26" s="25" t="s">
        <v>34</v>
      </c>
      <c r="D26" s="376">
        <f>SUM(E26:F26)</f>
        <v>2260</v>
      </c>
      <c r="E26" s="376">
        <v>1080</v>
      </c>
      <c r="F26" s="376">
        <v>1180</v>
      </c>
      <c r="G26" s="30"/>
      <c r="H26" s="30"/>
      <c r="I26" s="2"/>
      <c r="J26" s="2"/>
      <c r="K26" s="2"/>
      <c r="L26" s="2"/>
      <c r="M26" s="2"/>
      <c r="N26" s="2"/>
      <c r="O26" s="2"/>
    </row>
    <row r="27" spans="3:15" ht="16.5" customHeight="1" x14ac:dyDescent="0.3">
      <c r="C27" s="25" t="s">
        <v>33</v>
      </c>
      <c r="D27" s="376"/>
      <c r="E27" s="376">
        <v>4560</v>
      </c>
      <c r="F27" s="376" t="s">
        <v>136</v>
      </c>
      <c r="G27" s="30"/>
      <c r="H27" s="30"/>
      <c r="I27" s="2"/>
    </row>
    <row r="28" spans="3:15" ht="16.5" customHeight="1" x14ac:dyDescent="0.3">
      <c r="C28" s="25" t="s">
        <v>32</v>
      </c>
      <c r="D28" s="375"/>
      <c r="E28" s="375"/>
      <c r="F28" s="376"/>
      <c r="G28" s="31"/>
      <c r="H28" s="31"/>
      <c r="I28" s="2"/>
    </row>
    <row r="29" spans="3:15" ht="16.5" customHeight="1" x14ac:dyDescent="0.3">
      <c r="C29" s="25" t="s">
        <v>31</v>
      </c>
      <c r="D29" s="375"/>
      <c r="E29" s="375"/>
      <c r="F29" s="376"/>
      <c r="G29" s="31"/>
      <c r="H29" s="31"/>
    </row>
    <row r="30" spans="3:15" ht="16.5" customHeight="1" x14ac:dyDescent="0.3">
      <c r="C30" s="25" t="s">
        <v>17</v>
      </c>
      <c r="D30" s="376">
        <f>SUM(E24:F24)</f>
        <v>17.425597315436242</v>
      </c>
      <c r="E30" s="375"/>
      <c r="F30" s="376"/>
      <c r="G30" s="31"/>
      <c r="H30" s="31"/>
    </row>
    <row r="31" spans="3:15" ht="16.5" customHeight="1" x14ac:dyDescent="0.3">
      <c r="C31" s="25" t="s">
        <v>18</v>
      </c>
      <c r="D31" s="376" t="s">
        <v>136</v>
      </c>
      <c r="E31" s="375"/>
      <c r="F31" s="376"/>
      <c r="G31" s="31"/>
      <c r="H31" s="31"/>
    </row>
    <row r="32" spans="3:15" ht="16.5" customHeight="1" x14ac:dyDescent="0.3">
      <c r="C32" s="25" t="s">
        <v>19</v>
      </c>
      <c r="D32" s="375"/>
      <c r="E32" s="375"/>
      <c r="F32" s="376"/>
      <c r="G32" s="31"/>
      <c r="H32" s="31"/>
    </row>
    <row r="33" spans="3:8" ht="16.5" customHeight="1" x14ac:dyDescent="0.3">
      <c r="C33" s="26" t="s">
        <v>20</v>
      </c>
      <c r="D33" s="375" cm="1">
        <f t="array" ref="D33">SUM((E26:F26)+E27)</f>
        <v>11380</v>
      </c>
      <c r="E33" s="375"/>
      <c r="F33" s="375"/>
      <c r="G33" s="33"/>
      <c r="H33" s="33"/>
    </row>
    <row r="34" spans="3:8" ht="16.5" customHeight="1" x14ac:dyDescent="0.3">
      <c r="C34" s="28" t="s">
        <v>26</v>
      </c>
      <c r="D34" s="375">
        <f>SUM(D22/D9)</f>
        <v>2.0034398794109691</v>
      </c>
      <c r="E34" s="375"/>
      <c r="F34" s="375"/>
      <c r="G34" s="35"/>
      <c r="H34" s="35"/>
    </row>
    <row r="35" spans="3:8" ht="16.5" customHeight="1" x14ac:dyDescent="0.3">
      <c r="C35" s="25" t="s">
        <v>30</v>
      </c>
      <c r="D35" s="375">
        <v>13140</v>
      </c>
      <c r="E35" s="375">
        <v>8475</v>
      </c>
      <c r="F35" s="375">
        <v>4665</v>
      </c>
      <c r="G35" s="33"/>
      <c r="H35" s="33"/>
    </row>
    <row r="36" spans="3:8" ht="16.5" customHeight="1" x14ac:dyDescent="0.3">
      <c r="C36" s="25" t="s">
        <v>29</v>
      </c>
      <c r="D36" s="375">
        <v>4460</v>
      </c>
      <c r="E36" s="375">
        <v>4460</v>
      </c>
      <c r="F36" s="375">
        <v>0</v>
      </c>
      <c r="G36" s="33"/>
      <c r="H36" s="33"/>
    </row>
    <row r="37" spans="3:8" ht="16.5" customHeight="1" x14ac:dyDescent="0.3">
      <c r="C37" s="25" t="s">
        <v>21</v>
      </c>
      <c r="D37" s="375">
        <v>14810</v>
      </c>
      <c r="E37" s="375">
        <v>12395</v>
      </c>
      <c r="F37" s="375">
        <v>2415</v>
      </c>
      <c r="G37" s="4"/>
      <c r="H37" s="33"/>
    </row>
    <row r="38" spans="3:8" ht="16.5" customHeight="1" x14ac:dyDescent="0.35">
      <c r="C38" s="29"/>
      <c r="D38" s="314"/>
      <c r="E38" s="314"/>
      <c r="F38" s="314"/>
      <c r="G38" s="3"/>
      <c r="H38" s="3"/>
    </row>
    <row r="39" spans="3:8" ht="16.5" customHeight="1" x14ac:dyDescent="0.3">
      <c r="C39" s="27" t="s">
        <v>27</v>
      </c>
      <c r="D39" s="374">
        <f>SUM(D9/D23)</f>
        <v>707.63923051507038</v>
      </c>
      <c r="E39" s="374"/>
      <c r="F39" s="374"/>
      <c r="G39" s="32"/>
      <c r="H39" s="34"/>
    </row>
  </sheetData>
  <pageMargins left="0.7" right="0.7" top="0.75" bottom="0.75" header="0.3" footer="0.3"/>
  <pageSetup scale="60" orientation="landscape" r:id="rId1"/>
  <headerFooter scaleWithDoc="0">
    <oddHeader>&amp;R&amp;G</oddHeader>
    <oddFooter>&amp;L&amp;G&amp;C&amp;9DRAFT &amp;D&amp;R&amp;9Page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Sources Uses</vt:lpstr>
      <vt:lpstr>Site Base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Terri Haymaker</dc:creator>
  <cp:lastModifiedBy>Terri Haymaker</cp:lastModifiedBy>
  <cp:lastPrinted>2022-09-09T12:44:28Z</cp:lastPrinted>
  <dcterms:created xsi:type="dcterms:W3CDTF">2022-01-20T03:18:49Z</dcterms:created>
  <dcterms:modified xsi:type="dcterms:W3CDTF">2022-09-09T12:45:34Z</dcterms:modified>
</cp:coreProperties>
</file>